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60" windowWidth="22260" windowHeight="12585"/>
  </bookViews>
  <sheets>
    <sheet name="окт" sheetId="44" r:id="rId1"/>
  </sheets>
  <definedNames>
    <definedName name="_xlnm.Print_Area" localSheetId="0">окт!$A$1:$AW$43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8" i="44" l="1"/>
  <c r="AJ27" i="44"/>
  <c r="AJ23" i="44"/>
  <c r="AJ22" i="44"/>
  <c r="AJ19" i="44"/>
  <c r="AJ18" i="44"/>
  <c r="AJ17" i="44"/>
  <c r="AJ15" i="44"/>
  <c r="AJ14" i="44"/>
  <c r="AJ13" i="44"/>
  <c r="AJ12" i="44"/>
  <c r="AK23" i="44" l="1"/>
  <c r="AN28" i="44"/>
  <c r="AK28" i="44"/>
  <c r="AN18" i="44"/>
  <c r="AK18" i="44"/>
  <c r="AI15" i="44"/>
  <c r="AI14" i="44"/>
  <c r="AI12" i="44" s="1"/>
  <c r="AI13" i="44"/>
  <c r="AI27" i="44" l="1"/>
  <c r="AI22" i="44"/>
  <c r="AI17" i="44"/>
  <c r="E31" i="44"/>
  <c r="D31" i="44"/>
  <c r="E30" i="44"/>
  <c r="D30" i="44"/>
  <c r="E29" i="44"/>
  <c r="D29" i="44"/>
  <c r="AH28" i="44"/>
  <c r="AE28" i="44"/>
  <c r="AB28" i="44"/>
  <c r="AD28" i="44" s="1"/>
  <c r="Y28" i="44"/>
  <c r="V28" i="44"/>
  <c r="X28" i="44" s="1"/>
  <c r="S28" i="44"/>
  <c r="P28" i="44"/>
  <c r="P27" i="44" s="1"/>
  <c r="R27" i="44" s="1"/>
  <c r="O28" i="44"/>
  <c r="L28" i="44"/>
  <c r="J28" i="44"/>
  <c r="I28" i="44"/>
  <c r="E28" i="44"/>
  <c r="AN27" i="44"/>
  <c r="AK27" i="44"/>
  <c r="AH27" i="44"/>
  <c r="AF27" i="44"/>
  <c r="AC27" i="44"/>
  <c r="Z27" i="44"/>
  <c r="W27" i="44"/>
  <c r="V27" i="44"/>
  <c r="X27" i="44" s="1"/>
  <c r="T27" i="44"/>
  <c r="Q27" i="44"/>
  <c r="N27" i="44"/>
  <c r="O27" i="44" s="1"/>
  <c r="M27" i="44"/>
  <c r="K27" i="44"/>
  <c r="J27" i="44"/>
  <c r="H27" i="44"/>
  <c r="G27" i="44"/>
  <c r="E26" i="44"/>
  <c r="D26" i="44"/>
  <c r="X25" i="44"/>
  <c r="S25" i="44"/>
  <c r="D25" i="44" s="1"/>
  <c r="E25" i="44"/>
  <c r="V24" i="44"/>
  <c r="X24" i="44" s="1"/>
  <c r="S24" i="44"/>
  <c r="U24" i="44" s="1"/>
  <c r="E24" i="44"/>
  <c r="D24" i="44"/>
  <c r="AH23" i="44"/>
  <c r="AH22" i="44" s="1"/>
  <c r="AE23" i="44"/>
  <c r="AG23" i="44" s="1"/>
  <c r="AB23" i="44"/>
  <c r="Y23" i="44"/>
  <c r="AA23" i="44" s="1"/>
  <c r="V23" i="44"/>
  <c r="S23" i="44"/>
  <c r="U23" i="44" s="1"/>
  <c r="P23" i="44"/>
  <c r="M23" i="44"/>
  <c r="O23" i="44" s="1"/>
  <c r="J23" i="44"/>
  <c r="E23" i="44"/>
  <c r="AN22" i="44"/>
  <c r="AK22" i="44"/>
  <c r="AF22" i="44"/>
  <c r="AF12" i="44" s="1"/>
  <c r="AC22" i="44"/>
  <c r="Z22" i="44"/>
  <c r="Y22" i="44"/>
  <c r="AA22" i="44" s="1"/>
  <c r="W22" i="44"/>
  <c r="T22" i="44"/>
  <c r="Q22" i="44"/>
  <c r="N22" i="44"/>
  <c r="M22" i="44"/>
  <c r="O22" i="44" s="1"/>
  <c r="K22" i="44"/>
  <c r="J22" i="44"/>
  <c r="H22" i="44"/>
  <c r="G22" i="44"/>
  <c r="E21" i="44"/>
  <c r="D21" i="44"/>
  <c r="AA20" i="44"/>
  <c r="X20" i="44"/>
  <c r="S20" i="44"/>
  <c r="P20" i="44"/>
  <c r="P15" i="44" s="1"/>
  <c r="E20" i="44"/>
  <c r="D20" i="44"/>
  <c r="F20" i="44" s="1"/>
  <c r="AG19" i="44"/>
  <c r="AD19" i="44"/>
  <c r="AB19" i="44"/>
  <c r="Y19" i="44"/>
  <c r="V19" i="44"/>
  <c r="S19" i="44"/>
  <c r="U19" i="44" s="1"/>
  <c r="P19" i="44"/>
  <c r="R19" i="44" s="1"/>
  <c r="M19" i="44"/>
  <c r="M14" i="44" s="1"/>
  <c r="E19" i="44"/>
  <c r="AH18" i="44"/>
  <c r="AE18" i="44"/>
  <c r="AB18" i="44"/>
  <c r="AD18" i="44" s="1"/>
  <c r="Y18" i="44"/>
  <c r="V18" i="44"/>
  <c r="X18" i="44" s="1"/>
  <c r="S18" i="44"/>
  <c r="P18" i="44"/>
  <c r="P17" i="44" s="1"/>
  <c r="R17" i="44" s="1"/>
  <c r="O18" i="44"/>
  <c r="L18" i="44"/>
  <c r="E18" i="44"/>
  <c r="AN17" i="44"/>
  <c r="AK17" i="44"/>
  <c r="AH17" i="44"/>
  <c r="AF17" i="44"/>
  <c r="AC17" i="44"/>
  <c r="Z17" i="44"/>
  <c r="W17" i="44"/>
  <c r="V17" i="44"/>
  <c r="X17" i="44" s="1"/>
  <c r="T17" i="44"/>
  <c r="Q17" i="44"/>
  <c r="N17" i="44"/>
  <c r="E17" i="44" s="1"/>
  <c r="K17" i="44"/>
  <c r="J17" i="44"/>
  <c r="L17" i="44" s="1"/>
  <c r="H17" i="44"/>
  <c r="G17" i="44"/>
  <c r="G12" i="44" s="1"/>
  <c r="AN16" i="44"/>
  <c r="AK16" i="44"/>
  <c r="AH16" i="44"/>
  <c r="AE16" i="44"/>
  <c r="AB16" i="44"/>
  <c r="Z16" i="44"/>
  <c r="V16" i="44"/>
  <c r="S16" i="44"/>
  <c r="P16" i="44"/>
  <c r="M16" i="44"/>
  <c r="J16" i="44"/>
  <c r="H16" i="44"/>
  <c r="G16" i="44"/>
  <c r="D16" i="44" s="1"/>
  <c r="E16" i="44"/>
  <c r="AN15" i="44"/>
  <c r="AK15" i="44"/>
  <c r="AH15" i="44"/>
  <c r="AF15" i="44"/>
  <c r="AE15" i="44"/>
  <c r="AC15" i="44"/>
  <c r="AB15" i="44"/>
  <c r="W15" i="44"/>
  <c r="V15" i="44"/>
  <c r="X15" i="44" s="1"/>
  <c r="T15" i="44"/>
  <c r="Q15" i="44"/>
  <c r="N15" i="44"/>
  <c r="J15" i="44"/>
  <c r="H15" i="44"/>
  <c r="G15" i="44"/>
  <c r="AN14" i="44"/>
  <c r="AK14" i="44"/>
  <c r="AH14" i="44"/>
  <c r="AF14" i="44"/>
  <c r="AE14" i="44"/>
  <c r="AG14" i="44" s="1"/>
  <c r="AC14" i="44"/>
  <c r="AB14" i="44"/>
  <c r="Z14" i="44"/>
  <c r="Y14" i="44"/>
  <c r="AA14" i="44" s="1"/>
  <c r="W14" i="44"/>
  <c r="T14" i="44"/>
  <c r="Q14" i="44"/>
  <c r="P14" i="44"/>
  <c r="N14" i="44"/>
  <c r="K14" i="44"/>
  <c r="J14" i="44"/>
  <c r="H14" i="44"/>
  <c r="E14" i="44" s="1"/>
  <c r="G14" i="44"/>
  <c r="AN13" i="44"/>
  <c r="AK13" i="44"/>
  <c r="AH13" i="44"/>
  <c r="AF13" i="44"/>
  <c r="AE13" i="44"/>
  <c r="AG13" i="44" s="1"/>
  <c r="AC13" i="44"/>
  <c r="AB13" i="44"/>
  <c r="Z13" i="44"/>
  <c r="Y13" i="44"/>
  <c r="AA13" i="44" s="1"/>
  <c r="W13" i="44"/>
  <c r="V13" i="44"/>
  <c r="T13" i="44"/>
  <c r="S13" i="44"/>
  <c r="U13" i="44" s="1"/>
  <c r="Q13" i="44"/>
  <c r="P13" i="44"/>
  <c r="N13" i="44"/>
  <c r="M13" i="44"/>
  <c r="O13" i="44" s="1"/>
  <c r="K13" i="44"/>
  <c r="J13" i="44"/>
  <c r="H13" i="44"/>
  <c r="G13" i="44"/>
  <c r="I13" i="44" s="1"/>
  <c r="E13" i="44"/>
  <c r="AN12" i="44"/>
  <c r="AK12" i="44"/>
  <c r="AH12" i="44"/>
  <c r="AC12" i="44"/>
  <c r="Z12" i="44"/>
  <c r="W12" i="44"/>
  <c r="Q12" i="44"/>
  <c r="K12" i="44"/>
  <c r="H12" i="44"/>
  <c r="I12" i="44" l="1"/>
  <c r="L12" i="44"/>
  <c r="O14" i="44"/>
  <c r="U14" i="44"/>
  <c r="J12" i="44"/>
  <c r="N12" i="44"/>
  <c r="E12" i="44" s="1"/>
  <c r="T12" i="44"/>
  <c r="L13" i="44"/>
  <c r="R13" i="44"/>
  <c r="X13" i="44"/>
  <c r="AD13" i="44"/>
  <c r="R14" i="44"/>
  <c r="S14" i="44"/>
  <c r="AD14" i="44"/>
  <c r="AG15" i="44"/>
  <c r="AB17" i="44"/>
  <c r="AD17" i="44" s="1"/>
  <c r="L22" i="44"/>
  <c r="S22" i="44"/>
  <c r="U22" i="44" s="1"/>
  <c r="AE22" i="44"/>
  <c r="AG22" i="44" s="1"/>
  <c r="D23" i="44"/>
  <c r="L27" i="44"/>
  <c r="AB27" i="44"/>
  <c r="AD27" i="44" s="1"/>
  <c r="E22" i="44"/>
  <c r="F23" i="44"/>
  <c r="D13" i="44"/>
  <c r="F13" i="44" s="1"/>
  <c r="E15" i="44"/>
  <c r="F16" i="44"/>
  <c r="U18" i="44"/>
  <c r="S17" i="44"/>
  <c r="U17" i="44" s="1"/>
  <c r="AA18" i="44"/>
  <c r="Y17" i="44"/>
  <c r="AG18" i="44"/>
  <c r="AE17" i="44"/>
  <c r="AG17" i="44" s="1"/>
  <c r="O19" i="44"/>
  <c r="D19" i="44"/>
  <c r="F19" i="44" s="1"/>
  <c r="M17" i="44"/>
  <c r="M12" i="44" s="1"/>
  <c r="R23" i="44"/>
  <c r="P22" i="44"/>
  <c r="X23" i="44"/>
  <c r="V22" i="44"/>
  <c r="V12" i="44" s="1"/>
  <c r="X12" i="44" s="1"/>
  <c r="AD23" i="44"/>
  <c r="AB22" i="44"/>
  <c r="U27" i="44"/>
  <c r="U28" i="44"/>
  <c r="S27" i="44"/>
  <c r="AA28" i="44"/>
  <c r="Y27" i="44"/>
  <c r="AA27" i="44" s="1"/>
  <c r="AG28" i="44"/>
  <c r="AE27" i="44"/>
  <c r="AG27" i="44" s="1"/>
  <c r="D17" i="44"/>
  <c r="R18" i="44"/>
  <c r="D18" i="44"/>
  <c r="X19" i="44"/>
  <c r="V14" i="44"/>
  <c r="D14" i="44" s="1"/>
  <c r="U20" i="44"/>
  <c r="S15" i="44"/>
  <c r="D15" i="44" s="1"/>
  <c r="R22" i="44"/>
  <c r="X22" i="44"/>
  <c r="AD22" i="44"/>
  <c r="F24" i="44"/>
  <c r="F25" i="44"/>
  <c r="I27" i="44"/>
  <c r="E27" i="44"/>
  <c r="R28" i="44"/>
  <c r="D28" i="44"/>
  <c r="AB12" i="44" l="1"/>
  <c r="AD12" i="44" s="1"/>
  <c r="U15" i="44"/>
  <c r="X14" i="44"/>
  <c r="D27" i="44"/>
  <c r="F27" i="44" s="1"/>
  <c r="F28" i="44"/>
  <c r="F17" i="44"/>
  <c r="F15" i="44"/>
  <c r="F14" i="44"/>
  <c r="P12" i="44"/>
  <c r="R12" i="44" s="1"/>
  <c r="D22" i="44"/>
  <c r="AE12" i="44"/>
  <c r="AG12" i="44" s="1"/>
  <c r="Y12" i="44"/>
  <c r="AA12" i="44" s="1"/>
  <c r="S12" i="44"/>
  <c r="U12" i="44" s="1"/>
  <c r="F18" i="44"/>
  <c r="AA17" i="44"/>
  <c r="O17" i="44"/>
  <c r="O12" i="44"/>
  <c r="D12" i="44" l="1"/>
  <c r="F22" i="44"/>
  <c r="F12" i="44" l="1"/>
</calcChain>
</file>

<file path=xl/sharedStrings.xml><?xml version="1.0" encoding="utf-8"?>
<sst xmlns="http://schemas.openxmlformats.org/spreadsheetml/2006/main" count="92" uniqueCount="43">
  <si>
    <t>№ п/п</t>
  </si>
  <si>
    <t>Наименование программы</t>
  </si>
  <si>
    <t>Источник финансирования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</si>
  <si>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</si>
  <si>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</si>
  <si>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</si>
  <si>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</si>
  <si>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</si>
  <si>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</si>
  <si>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</si>
  <si>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</si>
  <si>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</si>
  <si>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</si>
  <si>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</si>
  <si>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</si>
  <si>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год</t>
  </si>
  <si>
    <t xml:space="preserve">факт     </t>
  </si>
  <si>
    <t>%</t>
  </si>
  <si>
    <t>план</t>
  </si>
  <si>
    <t>факт</t>
  </si>
  <si>
    <t>Всего</t>
  </si>
  <si>
    <t>местный бюджет</t>
  </si>
  <si>
    <t>окружной бюджет</t>
  </si>
  <si>
    <t>федеральный бюджет</t>
  </si>
  <si>
    <t>привлеченные средства</t>
  </si>
  <si>
    <t>1.1</t>
  </si>
  <si>
    <t>1.2</t>
  </si>
  <si>
    <t>8(34643)96-769 *544#</t>
  </si>
  <si>
    <t xml:space="preserve">Приложение 1         </t>
  </si>
  <si>
    <t>к Положению о порядке разработки и утвержения муниципальных программ</t>
  </si>
  <si>
    <t>от "19" октября 2018 года</t>
  </si>
  <si>
    <t>тыс.рублей</t>
  </si>
  <si>
    <t>1.3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</si>
  <si>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</si>
  <si>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Подпрограмма "Поддержка творческих инициатив, способствующих самореализации населения"</t>
  </si>
  <si>
    <t>Подпрограмма "Организационные, экономические механизмы развития культуры и историко-культурного наследия"</t>
  </si>
  <si>
    <t xml:space="preserve">Сетевой график о финансовом обеспечении реализации в 2020 году муниципальной программы </t>
  </si>
  <si>
    <t xml:space="preserve"> «Культурное пространство в городском округе город Мегион на 2019 – 2025 годы»</t>
  </si>
  <si>
    <t>Муниципальная программа "Культурное пространство в городском округе город Мегион на 2019-2025 годы"</t>
  </si>
  <si>
    <t>Исполнитель: В.А. Глушкова</t>
  </si>
  <si>
    <t>2020 год</t>
  </si>
  <si>
    <t>городской округ город Мегион по состоянию на 01.11.2020</t>
  </si>
  <si>
    <t>Исполняющий обязанности начальника отдела культуры                                          Е.В.Лисицкая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</si>
</sst>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0"/>
    <numFmt numFmtId="165" formatCode="#,##0.0"/>
    <numFmt numFmtId="166" formatCode="_-* #,##0.00_р_._-;\-* #,##0.00_р_._-;_-* &quot;-&quot;??_р_._-;_-@_-"/>
    <numFmt numFmtId="167" formatCode="0.0"/>
    <numFmt numFmtId="168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DDE2E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109">
    <xf numFmtId="0" fontId="0" fillId="0" borderId="0" xfId="0"/>
    <xf numFmtId="164" fontId="2" fillId="2" borderId="0" xfId="0" applyNumberFormat="1" applyFont="1" applyFill="1"/>
    <xf numFmtId="164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vertical="top"/>
    </xf>
    <xf numFmtId="164" fontId="4" fillId="0" borderId="1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top"/>
    </xf>
    <xf numFmtId="164" fontId="2" fillId="2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 wrapText="1"/>
    </xf>
    <xf numFmtId="165" fontId="2" fillId="2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3" fontId="3" fillId="2" borderId="6" xfId="1" applyFont="1" applyFill="1" applyBorder="1" applyAlignment="1">
      <alignment horizontal="left" vertical="center" wrapText="1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/>
    <xf numFmtId="167" fontId="2" fillId="2" borderId="6" xfId="0" applyNumberFormat="1" applyFont="1" applyFill="1" applyBorder="1" applyAlignment="1">
      <alignment horizontal="center" vertical="center"/>
    </xf>
    <xf numFmtId="167" fontId="2" fillId="4" borderId="6" xfId="0" applyNumberFormat="1" applyFont="1" applyFill="1" applyBorder="1" applyAlignment="1">
      <alignment horizontal="center" vertical="center" wrapText="1"/>
    </xf>
    <xf numFmtId="167" fontId="2" fillId="2" borderId="6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167" fontId="2" fillId="5" borderId="6" xfId="0" applyNumberFormat="1" applyFont="1" applyFill="1" applyBorder="1" applyAlignment="1">
      <alignment horizontal="center" vertical="center" wrapText="1"/>
    </xf>
    <xf numFmtId="167" fontId="2" fillId="4" borderId="6" xfId="0" applyNumberFormat="1" applyFont="1" applyFill="1" applyBorder="1" applyAlignment="1">
      <alignment horizontal="center" vertical="center"/>
    </xf>
    <xf numFmtId="167" fontId="2" fillId="0" borderId="6" xfId="0" applyNumberFormat="1" applyFont="1" applyFill="1" applyBorder="1" applyAlignment="1">
      <alignment horizontal="center" vertical="center"/>
    </xf>
    <xf numFmtId="167" fontId="2" fillId="6" borderId="6" xfId="0" applyNumberFormat="1" applyFont="1" applyFill="1" applyBorder="1" applyAlignment="1">
      <alignment horizontal="center" vertical="center"/>
    </xf>
    <xf numFmtId="167" fontId="2" fillId="6" borderId="6" xfId="0" applyNumberFormat="1" applyFont="1" applyFill="1" applyBorder="1" applyAlignment="1">
      <alignment horizontal="center" vertical="center" wrapText="1"/>
    </xf>
    <xf numFmtId="167" fontId="2" fillId="6" borderId="6" xfId="1" applyNumberFormat="1" applyFont="1" applyFill="1" applyBorder="1" applyAlignment="1">
      <alignment horizontal="center" vertical="center"/>
    </xf>
    <xf numFmtId="2" fontId="0" fillId="0" borderId="0" xfId="0" applyNumberFormat="1"/>
    <xf numFmtId="165" fontId="2" fillId="4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165" fontId="2" fillId="6" borderId="6" xfId="0" applyNumberFormat="1" applyFont="1" applyFill="1" applyBorder="1" applyAlignment="1">
      <alignment horizontal="center" vertical="center"/>
    </xf>
    <xf numFmtId="165" fontId="2" fillId="6" borderId="6" xfId="1" applyNumberFormat="1" applyFont="1" applyFill="1" applyBorder="1" applyAlignment="1">
      <alignment horizontal="center" vertical="center"/>
    </xf>
    <xf numFmtId="165" fontId="2" fillId="3" borderId="6" xfId="0" applyNumberFormat="1" applyFont="1" applyFill="1" applyBorder="1" applyAlignment="1">
      <alignment horizontal="center" vertical="center"/>
    </xf>
    <xf numFmtId="165" fontId="2" fillId="3" borderId="6" xfId="1" applyNumberFormat="1" applyFont="1" applyFill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167" fontId="2" fillId="5" borderId="3" xfId="0" applyNumberFormat="1" applyFont="1" applyFill="1" applyBorder="1" applyAlignment="1">
      <alignment horizontal="center" vertical="center" wrapText="1"/>
    </xf>
    <xf numFmtId="167" fontId="2" fillId="0" borderId="6" xfId="0" applyNumberFormat="1" applyFont="1" applyBorder="1" applyAlignment="1">
      <alignment horizontal="center" vertical="center" wrapText="1"/>
    </xf>
    <xf numFmtId="167" fontId="2" fillId="4" borderId="3" xfId="0" applyNumberFormat="1" applyFont="1" applyFill="1" applyBorder="1" applyAlignment="1">
      <alignment horizontal="center" vertical="center" wrapText="1"/>
    </xf>
    <xf numFmtId="167" fontId="2" fillId="4" borderId="3" xfId="0" applyNumberFormat="1" applyFont="1" applyFill="1" applyBorder="1" applyAlignment="1">
      <alignment horizontal="center" vertical="center"/>
    </xf>
    <xf numFmtId="167" fontId="2" fillId="6" borderId="3" xfId="0" applyNumberFormat="1" applyFont="1" applyFill="1" applyBorder="1" applyAlignment="1">
      <alignment horizontal="center" vertical="center"/>
    </xf>
    <xf numFmtId="167" fontId="2" fillId="6" borderId="3" xfId="1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7" fontId="2" fillId="7" borderId="6" xfId="0" applyNumberFormat="1" applyFont="1" applyFill="1" applyBorder="1" applyAlignment="1">
      <alignment horizontal="center" vertical="center"/>
    </xf>
    <xf numFmtId="2" fontId="2" fillId="4" borderId="6" xfId="0" applyNumberFormat="1" applyFont="1" applyFill="1" applyBorder="1" applyAlignment="1">
      <alignment horizontal="center" vertical="center"/>
    </xf>
    <xf numFmtId="168" fontId="2" fillId="4" borderId="6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167" fontId="2" fillId="8" borderId="6" xfId="0" applyNumberFormat="1" applyFont="1" applyFill="1" applyBorder="1" applyAlignment="1">
      <alignment horizontal="center" vertical="center" wrapText="1"/>
    </xf>
    <xf numFmtId="167" fontId="2" fillId="8" borderId="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2" fillId="2" borderId="6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right" vertical="top"/>
    </xf>
    <xf numFmtId="0" fontId="0" fillId="0" borderId="0" xfId="0" applyAlignment="1">
      <alignment horizontal="right" vertical="top"/>
    </xf>
    <xf numFmtId="164" fontId="2" fillId="2" borderId="0" xfId="0" applyNumberFormat="1" applyFont="1" applyFill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0" fontId="4" fillId="2" borderId="2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/>
    <xf numFmtId="164" fontId="4" fillId="2" borderId="3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7" borderId="6" xfId="0" applyNumberFormat="1" applyFont="1" applyFill="1" applyBorder="1" applyAlignment="1">
      <alignment horizontal="center" vertical="center" wrapText="1"/>
    </xf>
    <xf numFmtId="0" fontId="0" fillId="0" borderId="0" xfId="0" applyAlignment="1"/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colors>
    <mruColors>
      <color rgb="FFFFCCFF"/>
      <color rgb="FFDDE2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6"/>
  <sheetViews>
    <sheetView tabSelected="1" view="pageBreakPreview" topLeftCell="R10" zoomScale="80" zoomScaleNormal="100" zoomScaleSheetLayoutView="80" workbookViewId="0">
      <selection activeCell="AJ29" sqref="AJ29"/>
    </sheetView>
  </sheetViews>
  <sheetFormatPr defaultRowHeight="15" x14ac:dyDescent="0.25"/>
  <cols>
    <col min="1" max="1" width="4.5703125" customWidth="1"/>
    <col min="2" max="2" width="27.28515625" customWidth="1"/>
    <col min="3" max="3" width="12.42578125" customWidth="1"/>
    <col min="4" max="4" width="10.28515625" customWidth="1"/>
    <col min="5" max="5" width="10" customWidth="1"/>
    <col min="6" max="6" width="8.85546875" customWidth="1"/>
    <col min="7" max="8" width="8.42578125" customWidth="1"/>
    <col min="9" max="10" width="8.5703125" customWidth="1"/>
    <col min="11" max="11" width="8.42578125" customWidth="1"/>
    <col min="12" max="12" width="8.5703125" customWidth="1"/>
    <col min="13" max="13" width="8.28515625" customWidth="1"/>
    <col min="14" max="14" width="8.5703125" style="24" customWidth="1"/>
    <col min="15" max="15" width="9" customWidth="1"/>
    <col min="16" max="16" width="8.5703125" style="24" customWidth="1"/>
    <col min="17" max="17" width="9.28515625" style="24" customWidth="1"/>
    <col min="18" max="18" width="9.140625" style="24" customWidth="1"/>
    <col min="19" max="19" width="9.28515625" customWidth="1"/>
    <col min="20" max="20" width="8.140625" style="24" customWidth="1"/>
    <col min="21" max="21" width="9.28515625" customWidth="1"/>
    <col min="22" max="22" width="10.140625" customWidth="1"/>
    <col min="23" max="23" width="8.7109375" customWidth="1"/>
    <col min="24" max="24" width="8.42578125" customWidth="1"/>
    <col min="25" max="25" width="9.28515625" customWidth="1"/>
    <col min="26" max="26" width="8.28515625" customWidth="1"/>
    <col min="27" max="27" width="9.28515625" customWidth="1"/>
    <col min="28" max="28" width="8.42578125" customWidth="1"/>
    <col min="29" max="29" width="9.28515625" customWidth="1"/>
    <col min="30" max="30" width="8.5703125" customWidth="1"/>
    <col min="31" max="31" width="8.7109375" customWidth="1"/>
    <col min="32" max="32" width="9.42578125" customWidth="1"/>
    <col min="33" max="33" width="9" customWidth="1"/>
    <col min="34" max="34" width="10.5703125" customWidth="1"/>
    <col min="35" max="35" width="10.42578125" customWidth="1"/>
    <col min="36" max="36" width="8.85546875" customWidth="1"/>
    <col min="37" max="37" width="9.42578125" customWidth="1"/>
    <col min="38" max="38" width="10.28515625" customWidth="1"/>
    <col min="39" max="39" width="9.42578125" customWidth="1"/>
    <col min="40" max="40" width="8.85546875" customWidth="1"/>
    <col min="41" max="41" width="7.85546875" customWidth="1"/>
    <col min="42" max="42" width="9.28515625" customWidth="1"/>
    <col min="43" max="43" width="2.7109375" customWidth="1"/>
  </cols>
  <sheetData>
    <row r="1" spans="1:43" x14ac:dyDescent="0.25">
      <c r="A1" s="4"/>
      <c r="B1" s="51"/>
      <c r="C1" s="52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53"/>
      <c r="Q1" s="53"/>
      <c r="R1" s="6"/>
      <c r="S1" s="6"/>
      <c r="T1" s="6"/>
      <c r="U1" s="6"/>
      <c r="V1" s="6"/>
      <c r="W1" s="7"/>
      <c r="X1" s="6"/>
      <c r="Y1" s="6"/>
      <c r="Z1" s="7"/>
      <c r="AA1" s="7"/>
      <c r="AB1" s="6"/>
      <c r="AC1" s="6"/>
      <c r="AD1" s="6"/>
      <c r="AE1" s="6"/>
      <c r="AF1" s="6"/>
      <c r="AG1" s="6"/>
      <c r="AH1" s="6"/>
      <c r="AI1" s="6"/>
      <c r="AJ1" s="6"/>
      <c r="AK1" s="6"/>
      <c r="AL1" s="69" t="s">
        <v>28</v>
      </c>
      <c r="AM1" s="70"/>
      <c r="AN1" s="70"/>
      <c r="AO1" s="70"/>
      <c r="AP1" s="70"/>
      <c r="AQ1" s="4"/>
    </row>
    <row r="2" spans="1:43" x14ac:dyDescent="0.25">
      <c r="A2" s="4"/>
      <c r="B2" s="51"/>
      <c r="C2" s="52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53"/>
      <c r="Q2" s="53"/>
      <c r="R2" s="6"/>
      <c r="S2" s="6"/>
      <c r="T2" s="6"/>
      <c r="U2" s="6"/>
      <c r="V2" s="6"/>
      <c r="W2" s="7"/>
      <c r="X2" s="6"/>
      <c r="Y2" s="6"/>
      <c r="Z2" s="71" t="s">
        <v>29</v>
      </c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4"/>
    </row>
    <row r="3" spans="1:43" x14ac:dyDescent="0.25">
      <c r="A3" s="4"/>
      <c r="B3" s="51"/>
      <c r="C3" s="52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53"/>
      <c r="Q3" s="53"/>
      <c r="R3" s="6"/>
      <c r="S3" s="6"/>
      <c r="T3" s="6"/>
      <c r="U3" s="6"/>
      <c r="V3" s="6"/>
      <c r="W3" s="7"/>
      <c r="X3" s="6"/>
      <c r="Y3" s="6"/>
      <c r="Z3" s="7"/>
      <c r="AA3" s="7"/>
      <c r="AB3" s="6"/>
      <c r="AC3" s="6"/>
      <c r="AD3" s="6"/>
      <c r="AE3" s="6"/>
      <c r="AF3" s="6"/>
      <c r="AG3" s="6"/>
      <c r="AH3" s="6"/>
      <c r="AI3" s="6"/>
      <c r="AJ3" s="6"/>
      <c r="AK3" s="6"/>
      <c r="AL3" s="69" t="s">
        <v>30</v>
      </c>
      <c r="AM3" s="70"/>
      <c r="AN3" s="70"/>
      <c r="AO3" s="70"/>
      <c r="AP3" s="70"/>
      <c r="AQ3" s="4"/>
    </row>
    <row r="4" spans="1:43" x14ac:dyDescent="0.25">
      <c r="A4" s="4"/>
      <c r="B4" s="51"/>
      <c r="C4" s="52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53"/>
      <c r="Q4" s="53"/>
      <c r="R4" s="6"/>
      <c r="S4" s="6"/>
      <c r="T4" s="6"/>
      <c r="U4" s="6"/>
      <c r="V4" s="6"/>
      <c r="W4" s="7"/>
      <c r="X4" s="6"/>
      <c r="Y4" s="6"/>
      <c r="Z4" s="7"/>
      <c r="AA4" s="7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4"/>
      <c r="AQ4" s="4"/>
    </row>
    <row r="5" spans="1:43" ht="15.75" x14ac:dyDescent="0.25">
      <c r="A5" s="4"/>
      <c r="B5" s="51"/>
      <c r="C5" s="52"/>
      <c r="D5" s="65"/>
      <c r="E5" s="66" t="s">
        <v>36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7"/>
      <c r="AA5" s="7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4"/>
      <c r="AQ5" s="4"/>
    </row>
    <row r="6" spans="1:43" ht="15.75" x14ac:dyDescent="0.25">
      <c r="A6" s="4"/>
      <c r="B6" s="51"/>
      <c r="C6" s="52"/>
      <c r="D6" s="65"/>
      <c r="E6" s="66" t="s">
        <v>37</v>
      </c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7"/>
      <c r="AA6" s="7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4"/>
      <c r="AQ6" s="4"/>
    </row>
    <row r="7" spans="1:43" ht="15.75" x14ac:dyDescent="0.25">
      <c r="A7" s="4"/>
      <c r="B7" s="51"/>
      <c r="C7" s="52"/>
      <c r="D7" s="65"/>
      <c r="E7" s="66" t="s">
        <v>41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7"/>
      <c r="AA7" s="7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4"/>
      <c r="AQ7" s="4"/>
    </row>
    <row r="8" spans="1:43" hidden="1" x14ac:dyDescent="0.25">
      <c r="A8" s="4"/>
      <c r="B8" s="51"/>
      <c r="C8" s="52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53"/>
      <c r="Q8" s="53"/>
      <c r="R8" s="6"/>
      <c r="S8" s="6"/>
      <c r="T8" s="6"/>
      <c r="U8" s="6"/>
      <c r="V8" s="6"/>
      <c r="W8" s="7"/>
      <c r="X8" s="6"/>
      <c r="Y8" s="6"/>
      <c r="Z8" s="7"/>
      <c r="AA8" s="7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4"/>
      <c r="AQ8" s="4"/>
    </row>
    <row r="9" spans="1:43" x14ac:dyDescent="0.25">
      <c r="A9" s="4"/>
      <c r="B9" s="51"/>
      <c r="C9" s="52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"/>
      <c r="Q9" s="5"/>
      <c r="R9" s="6"/>
      <c r="S9" s="6"/>
      <c r="T9" s="6"/>
      <c r="U9" s="6"/>
      <c r="V9" s="6"/>
      <c r="W9" s="7"/>
      <c r="X9" s="6"/>
      <c r="Y9" s="6"/>
      <c r="Z9" s="7"/>
      <c r="AA9" s="7"/>
      <c r="AB9" s="6"/>
      <c r="AC9" s="7"/>
      <c r="AD9" s="6"/>
      <c r="AE9" s="7"/>
      <c r="AF9" s="7"/>
      <c r="AG9" s="7"/>
      <c r="AH9" s="6"/>
      <c r="AI9" s="6"/>
      <c r="AJ9" s="6"/>
      <c r="AK9" s="6"/>
      <c r="AL9" s="72" t="s">
        <v>31</v>
      </c>
      <c r="AM9" s="73"/>
      <c r="AN9" s="73"/>
      <c r="AO9" s="73"/>
      <c r="AP9" s="73"/>
      <c r="AQ9" s="4"/>
    </row>
    <row r="10" spans="1:43" ht="15" customHeight="1" x14ac:dyDescent="0.25">
      <c r="A10" s="74" t="s">
        <v>0</v>
      </c>
      <c r="B10" s="74" t="s">
        <v>1</v>
      </c>
      <c r="C10" s="76" t="s">
        <v>2</v>
      </c>
      <c r="D10" s="78" t="s">
        <v>40</v>
      </c>
      <c r="E10" s="79"/>
      <c r="F10" s="80"/>
      <c r="G10" s="100" t="s">
        <v>3</v>
      </c>
      <c r="H10" s="101"/>
      <c r="I10" s="102"/>
      <c r="J10" s="100" t="s">
        <v>4</v>
      </c>
      <c r="K10" s="101"/>
      <c r="L10" s="102"/>
      <c r="M10" s="104" t="s">
        <v>5</v>
      </c>
      <c r="N10" s="105"/>
      <c r="O10" s="106"/>
      <c r="P10" s="104" t="s">
        <v>6</v>
      </c>
      <c r="Q10" s="105"/>
      <c r="R10" s="106"/>
      <c r="S10" s="82" t="s">
        <v>7</v>
      </c>
      <c r="T10" s="82"/>
      <c r="U10" s="82"/>
      <c r="V10" s="82" t="s">
        <v>8</v>
      </c>
      <c r="W10" s="82"/>
      <c r="X10" s="82"/>
      <c r="Y10" s="82" t="s">
        <v>9</v>
      </c>
      <c r="Z10" s="82"/>
      <c r="AA10" s="82"/>
      <c r="AB10" s="82" t="s">
        <v>10</v>
      </c>
      <c r="AC10" s="82"/>
      <c r="AD10" s="82"/>
      <c r="AE10" s="82" t="s">
        <v>11</v>
      </c>
      <c r="AF10" s="82"/>
      <c r="AG10" s="82"/>
      <c r="AH10" s="107" t="s">
        <v>12</v>
      </c>
      <c r="AI10" s="107"/>
      <c r="AJ10" s="107"/>
      <c r="AK10" s="81" t="s">
        <v>13</v>
      </c>
      <c r="AL10" s="81"/>
      <c r="AM10" s="81"/>
      <c r="AN10" s="103" t="s">
        <v>14</v>
      </c>
      <c r="AO10" s="103"/>
      <c r="AP10" s="103"/>
      <c r="AQ10" s="8"/>
    </row>
    <row r="11" spans="1:43" ht="15" customHeight="1" x14ac:dyDescent="0.25">
      <c r="A11" s="75"/>
      <c r="B11" s="75"/>
      <c r="C11" s="77"/>
      <c r="D11" s="9" t="s">
        <v>15</v>
      </c>
      <c r="E11" s="9" t="s">
        <v>16</v>
      </c>
      <c r="F11" s="10" t="s">
        <v>17</v>
      </c>
      <c r="G11" s="11" t="s">
        <v>18</v>
      </c>
      <c r="H11" s="63" t="s">
        <v>19</v>
      </c>
      <c r="I11" s="12" t="s">
        <v>17</v>
      </c>
      <c r="J11" s="11" t="s">
        <v>18</v>
      </c>
      <c r="K11" s="63" t="s">
        <v>19</v>
      </c>
      <c r="L11" s="12" t="s">
        <v>17</v>
      </c>
      <c r="M11" s="11" t="s">
        <v>18</v>
      </c>
      <c r="N11" s="64" t="s">
        <v>19</v>
      </c>
      <c r="O11" s="12" t="s">
        <v>17</v>
      </c>
      <c r="P11" s="11" t="s">
        <v>18</v>
      </c>
      <c r="Q11" s="64" t="s">
        <v>19</v>
      </c>
      <c r="R11" s="64" t="s">
        <v>17</v>
      </c>
      <c r="S11" s="11" t="s">
        <v>18</v>
      </c>
      <c r="T11" s="64" t="s">
        <v>19</v>
      </c>
      <c r="U11" s="12" t="s">
        <v>17</v>
      </c>
      <c r="V11" s="11" t="s">
        <v>18</v>
      </c>
      <c r="W11" s="64" t="s">
        <v>19</v>
      </c>
      <c r="X11" s="12" t="s">
        <v>17</v>
      </c>
      <c r="Y11" s="11" t="s">
        <v>18</v>
      </c>
      <c r="Z11" s="64" t="s">
        <v>19</v>
      </c>
      <c r="AA11" s="63" t="s">
        <v>17</v>
      </c>
      <c r="AB11" s="11" t="s">
        <v>18</v>
      </c>
      <c r="AC11" s="64" t="s">
        <v>19</v>
      </c>
      <c r="AD11" s="12" t="s">
        <v>17</v>
      </c>
      <c r="AE11" s="11" t="s">
        <v>18</v>
      </c>
      <c r="AF11" s="64" t="s">
        <v>19</v>
      </c>
      <c r="AG11" s="12" t="s">
        <v>17</v>
      </c>
      <c r="AH11" s="11" t="s">
        <v>18</v>
      </c>
      <c r="AI11" s="64" t="s">
        <v>19</v>
      </c>
      <c r="AJ11" s="12" t="s">
        <v>17</v>
      </c>
      <c r="AK11" s="11" t="s">
        <v>18</v>
      </c>
      <c r="AL11" s="64" t="s">
        <v>19</v>
      </c>
      <c r="AM11" s="12" t="s">
        <v>17</v>
      </c>
      <c r="AN11" s="13" t="s">
        <v>18</v>
      </c>
      <c r="AO11" s="64" t="s">
        <v>19</v>
      </c>
      <c r="AP11" s="14" t="s">
        <v>17</v>
      </c>
      <c r="AQ11" s="8"/>
    </row>
    <row r="12" spans="1:43" ht="28.5" customHeight="1" x14ac:dyDescent="0.25">
      <c r="A12" s="92"/>
      <c r="B12" s="95" t="s">
        <v>38</v>
      </c>
      <c r="C12" s="16" t="s">
        <v>20</v>
      </c>
      <c r="D12" s="39">
        <f>G12+J12+M12+P12+S12+V12+Y12+AB12+AE12+AH12+AK12+AN12</f>
        <v>412364.35</v>
      </c>
      <c r="E12" s="39">
        <f t="shared" ref="D12:E20" si="0">H12+K12+N12+Q12+T12+W12+Z12+AC12+AF12+AI12+AL12+AO12</f>
        <v>335670.60339999996</v>
      </c>
      <c r="F12" s="60">
        <f t="shared" ref="F12:F20" si="1">E12/D12*100</f>
        <v>81.401460480276725</v>
      </c>
      <c r="G12" s="26">
        <f t="shared" ref="G12:H16" si="2">G17+G22+G27</f>
        <v>26182.3</v>
      </c>
      <c r="H12" s="59">
        <f t="shared" si="2"/>
        <v>10562.7</v>
      </c>
      <c r="I12" s="59">
        <f>H12/G12*100</f>
        <v>40.342903411846933</v>
      </c>
      <c r="J12" s="26">
        <f>J17+J22+J27</f>
        <v>33519.72</v>
      </c>
      <c r="K12" s="59">
        <f>K13+K14+K15+K16</f>
        <v>34203.824999999997</v>
      </c>
      <c r="L12" s="26">
        <f>K12/J12*100</f>
        <v>102.04090308630262</v>
      </c>
      <c r="M12" s="26">
        <f>M17+M22+M27</f>
        <v>36412.553</v>
      </c>
      <c r="N12" s="59">
        <f>N13+N14+N15+N16</f>
        <v>35075.65</v>
      </c>
      <c r="O12" s="26">
        <f>N12/M12*100</f>
        <v>96.328455738876656</v>
      </c>
      <c r="P12" s="26">
        <f>P17+P22+P27</f>
        <v>37428.663</v>
      </c>
      <c r="Q12" s="59">
        <f>Q13+Q14+Q15+Q16</f>
        <v>41596.888999999996</v>
      </c>
      <c r="R12" s="59">
        <f>Q12/P12*100</f>
        <v>111.13645443333094</v>
      </c>
      <c r="S12" s="59">
        <f>S17+S22+S27</f>
        <v>39659.606000000007</v>
      </c>
      <c r="T12" s="59">
        <f>T13+T14+T15</f>
        <v>41498.450000000004</v>
      </c>
      <c r="U12" s="26">
        <f>T12/S12*100</f>
        <v>104.63656648530497</v>
      </c>
      <c r="V12" s="26">
        <f>V17+V22+V27</f>
        <v>38992.432999999997</v>
      </c>
      <c r="W12" s="36">
        <f>W13+W14+W15+W16</f>
        <v>51084.91</v>
      </c>
      <c r="X12" s="26">
        <f>W12/V12*100</f>
        <v>131.01236847672473</v>
      </c>
      <c r="Y12" s="26">
        <f>Y17+Y22+Y27</f>
        <v>36406.957999999999</v>
      </c>
      <c r="Z12" s="26">
        <f>Z13+Z14+Z15+Z16</f>
        <v>35538.699999999997</v>
      </c>
      <c r="AA12" s="26">
        <f>Z12/Y12*100</f>
        <v>97.615131700923769</v>
      </c>
      <c r="AB12" s="26">
        <f t="shared" ref="AB12:AC15" si="3">AB17+AB22+AB27</f>
        <v>35940.727000000006</v>
      </c>
      <c r="AC12" s="26">
        <f t="shared" si="3"/>
        <v>28421.474000000002</v>
      </c>
      <c r="AD12" s="26">
        <f>AC12/AB12*100</f>
        <v>79.078739837399496</v>
      </c>
      <c r="AE12" s="26">
        <f t="shared" ref="AE12:AF15" si="4">AE17+AE22+AE27</f>
        <v>33761.807000000001</v>
      </c>
      <c r="AF12" s="26">
        <f t="shared" si="4"/>
        <v>26923.275399999999</v>
      </c>
      <c r="AG12" s="26">
        <f>AF12/AE12*100</f>
        <v>79.74477017773367</v>
      </c>
      <c r="AH12" s="26">
        <f>AH17+AH22+AH27</f>
        <v>38165.300000000003</v>
      </c>
      <c r="AI12" s="26">
        <f>AI13+AI14+AI15+AI16</f>
        <v>30764.730000000003</v>
      </c>
      <c r="AJ12" s="26">
        <f>AI12/AH12*100</f>
        <v>80.609165917731545</v>
      </c>
      <c r="AK12" s="26">
        <f>AK17+AK22+AK27</f>
        <v>31088.016</v>
      </c>
      <c r="AL12" s="26">
        <v>0</v>
      </c>
      <c r="AM12" s="26">
        <v>0</v>
      </c>
      <c r="AN12" s="26">
        <f>AN17+AN22+AN27</f>
        <v>24806.267000000003</v>
      </c>
      <c r="AO12" s="26">
        <v>0</v>
      </c>
      <c r="AP12" s="26">
        <v>0</v>
      </c>
      <c r="AQ12" s="17"/>
    </row>
    <row r="13" spans="1:43" ht="39" customHeight="1" x14ac:dyDescent="0.25">
      <c r="A13" s="93"/>
      <c r="B13" s="96"/>
      <c r="C13" s="18" t="s">
        <v>21</v>
      </c>
      <c r="D13" s="41">
        <f t="shared" si="0"/>
        <v>404081.05200000003</v>
      </c>
      <c r="E13" s="41">
        <f t="shared" si="0"/>
        <v>328666.27544</v>
      </c>
      <c r="F13" s="60">
        <f t="shared" si="1"/>
        <v>81.336720396382262</v>
      </c>
      <c r="G13" s="26">
        <f t="shared" si="2"/>
        <v>26182.3</v>
      </c>
      <c r="H13" s="59">
        <f t="shared" si="2"/>
        <v>10562.7</v>
      </c>
      <c r="I13" s="26">
        <f>H13/G13*100</f>
        <v>40.342903411846933</v>
      </c>
      <c r="J13" s="26">
        <f>J18+J23+J28</f>
        <v>33519.72</v>
      </c>
      <c r="K13" s="59">
        <f>K18+K23+K28</f>
        <v>34203.824999999997</v>
      </c>
      <c r="L13" s="26">
        <f>K13/J13*100</f>
        <v>102.04090308630262</v>
      </c>
      <c r="M13" s="26">
        <f>M18+M23+M28</f>
        <v>36323.72</v>
      </c>
      <c r="N13" s="59">
        <f>N18+N23+N28</f>
        <v>35070.980000000003</v>
      </c>
      <c r="O13" s="26">
        <f>N13/M13*100</f>
        <v>96.551179229440166</v>
      </c>
      <c r="P13" s="26">
        <f>P18+P23+P28</f>
        <v>37264.130000000005</v>
      </c>
      <c r="Q13" s="59">
        <f>Q18+Q23+Q28</f>
        <v>41587.538999999997</v>
      </c>
      <c r="R13" s="59">
        <f>Q13/P13*100</f>
        <v>111.60206611559155</v>
      </c>
      <c r="S13" s="59">
        <f>S18+S23+S28</f>
        <v>38479.873000000007</v>
      </c>
      <c r="T13" s="59">
        <f>T18+T23+T28</f>
        <v>41236.51</v>
      </c>
      <c r="U13" s="26">
        <f>T13/S13*100</f>
        <v>107.16384121122229</v>
      </c>
      <c r="V13" s="26">
        <f>V18+V23+V28</f>
        <v>38000.1</v>
      </c>
      <c r="W13" s="36">
        <f>W18+W23+W28</f>
        <v>50255.86</v>
      </c>
      <c r="X13" s="26">
        <f>W13/V13*100</f>
        <v>132.25191512653916</v>
      </c>
      <c r="Y13" s="26">
        <f>Y18+Y23+Y28</f>
        <v>36127.691999999995</v>
      </c>
      <c r="Z13" s="26">
        <f>Z18+Z23+Z28</f>
        <v>31369.34</v>
      </c>
      <c r="AA13" s="26">
        <f>Z13/Y13*100</f>
        <v>86.82907283421261</v>
      </c>
      <c r="AB13" s="26">
        <f t="shared" si="3"/>
        <v>35822.127000000008</v>
      </c>
      <c r="AC13" s="26">
        <f t="shared" si="3"/>
        <v>27934.6</v>
      </c>
      <c r="AD13" s="26">
        <f>AC13/AB13*100</f>
        <v>77.981410763241371</v>
      </c>
      <c r="AE13" s="26">
        <f t="shared" si="4"/>
        <v>33646.807000000001</v>
      </c>
      <c r="AF13" s="26">
        <f t="shared" si="4"/>
        <v>25939.801439999999</v>
      </c>
      <c r="AG13" s="26">
        <f>AF13/AE13*100</f>
        <v>77.094392463451271</v>
      </c>
      <c r="AH13" s="26">
        <f>AH18+AH23+AH28</f>
        <v>33050.300000000003</v>
      </c>
      <c r="AI13" s="26">
        <f>AI18+AI23+AI28</f>
        <v>30505.120000000003</v>
      </c>
      <c r="AJ13" s="26">
        <f>AI13/AH13*100</f>
        <v>92.299071415388056</v>
      </c>
      <c r="AK13" s="26">
        <f>AK18+AK23+AK28</f>
        <v>30973.016</v>
      </c>
      <c r="AL13" s="26">
        <v>0</v>
      </c>
      <c r="AM13" s="26">
        <v>0</v>
      </c>
      <c r="AN13" s="26">
        <f>AN18+AN23+AN28</f>
        <v>24691.267000000003</v>
      </c>
      <c r="AO13" s="26">
        <v>0</v>
      </c>
      <c r="AP13" s="60">
        <v>0</v>
      </c>
      <c r="AQ13" s="19"/>
    </row>
    <row r="14" spans="1:43" ht="30" customHeight="1" x14ac:dyDescent="0.25">
      <c r="A14" s="93"/>
      <c r="B14" s="96"/>
      <c r="C14" s="18" t="s">
        <v>22</v>
      </c>
      <c r="D14" s="41">
        <f t="shared" si="0"/>
        <v>2803.2979999999998</v>
      </c>
      <c r="E14" s="41">
        <f t="shared" si="0"/>
        <v>1736.8179399999999</v>
      </c>
      <c r="F14" s="25">
        <f t="shared" si="1"/>
        <v>61.9562365470956</v>
      </c>
      <c r="G14" s="26">
        <f t="shared" si="2"/>
        <v>0</v>
      </c>
      <c r="H14" s="27">
        <f t="shared" si="2"/>
        <v>0</v>
      </c>
      <c r="I14" s="27" t="e">
        <v>#DIV/0!</v>
      </c>
      <c r="J14" s="26">
        <f>J19+J24+J29</f>
        <v>0</v>
      </c>
      <c r="K14" s="27">
        <f>K19+K24+K29</f>
        <v>0</v>
      </c>
      <c r="L14" s="27" t="e">
        <v>#DIV/0!</v>
      </c>
      <c r="M14" s="26">
        <f>M19+M24+M29</f>
        <v>88.832999999999998</v>
      </c>
      <c r="N14" s="28">
        <f>N19+N24+N29</f>
        <v>4.67</v>
      </c>
      <c r="O14" s="27">
        <f>N14/M14*100</f>
        <v>5.2570553735661294</v>
      </c>
      <c r="P14" s="26">
        <f>P19+P24+P29</f>
        <v>164.53300000000002</v>
      </c>
      <c r="Q14" s="28">
        <f>Q19+Q24+Q29</f>
        <v>9.35</v>
      </c>
      <c r="R14" s="28">
        <f>Q14/P14*100</f>
        <v>5.6827505728334131</v>
      </c>
      <c r="S14" s="29">
        <f>S19+S24+S29</f>
        <v>889.33299999999997</v>
      </c>
      <c r="T14" s="28">
        <f>T19+T24+T29</f>
        <v>4.68</v>
      </c>
      <c r="U14" s="27">
        <f>T14/S14*100</f>
        <v>0.52623707879950476</v>
      </c>
      <c r="V14" s="29">
        <f>V19+V24+V29</f>
        <v>802.73299999999995</v>
      </c>
      <c r="W14" s="37">
        <f>W19+W24+W29</f>
        <v>179.11</v>
      </c>
      <c r="X14" s="27">
        <f>W14/V14*100</f>
        <v>22.312524837025517</v>
      </c>
      <c r="Y14" s="29">
        <f>Y19+Y24+Y29</f>
        <v>279.26599999999996</v>
      </c>
      <c r="Z14" s="28">
        <f>Z19+Z24+Z29</f>
        <v>284.57</v>
      </c>
      <c r="AA14" s="27">
        <f>Z14/Y14*100</f>
        <v>101.89926450051207</v>
      </c>
      <c r="AB14" s="29">
        <f t="shared" si="3"/>
        <v>118.6</v>
      </c>
      <c r="AC14" s="28">
        <f t="shared" si="3"/>
        <v>342.21500000000003</v>
      </c>
      <c r="AD14" s="27">
        <f>AC14/AB14*100</f>
        <v>288.5455311973019</v>
      </c>
      <c r="AE14" s="29">
        <f t="shared" si="4"/>
        <v>115</v>
      </c>
      <c r="AF14" s="28">
        <f t="shared" si="4"/>
        <v>652.61293999999998</v>
      </c>
      <c r="AG14" s="27">
        <f>AF14/AE14*100</f>
        <v>567.48951304347827</v>
      </c>
      <c r="AH14" s="29">
        <f>AH19+AH24+AH29</f>
        <v>115</v>
      </c>
      <c r="AI14" s="28">
        <f>AI19+AI24+AI29</f>
        <v>259.61</v>
      </c>
      <c r="AJ14" s="27">
        <f>AI14/AH14*100</f>
        <v>225.74782608695654</v>
      </c>
      <c r="AK14" s="29">
        <f>AK19+AK24+AK29</f>
        <v>115</v>
      </c>
      <c r="AL14" s="28">
        <v>0</v>
      </c>
      <c r="AM14" s="27" t="e">
        <v>#DIV/0!</v>
      </c>
      <c r="AN14" s="44">
        <f>AN19+AN24+AN29</f>
        <v>115</v>
      </c>
      <c r="AO14" s="28">
        <v>0</v>
      </c>
      <c r="AP14" s="45" t="e">
        <v>#DIV/0!</v>
      </c>
      <c r="AQ14" s="20"/>
    </row>
    <row r="15" spans="1:43" ht="33" customHeight="1" x14ac:dyDescent="0.25">
      <c r="A15" s="93"/>
      <c r="B15" s="96"/>
      <c r="C15" s="18" t="s">
        <v>23</v>
      </c>
      <c r="D15" s="41">
        <f t="shared" si="0"/>
        <v>5480</v>
      </c>
      <c r="E15" s="41">
        <f t="shared" si="0"/>
        <v>5267.5100199999997</v>
      </c>
      <c r="F15" s="25">
        <f t="shared" si="1"/>
        <v>96.122445620437944</v>
      </c>
      <c r="G15" s="26">
        <f t="shared" si="2"/>
        <v>0</v>
      </c>
      <c r="H15" s="27">
        <f t="shared" si="2"/>
        <v>0</v>
      </c>
      <c r="I15" s="27" t="e">
        <v>#DIV/0!</v>
      </c>
      <c r="J15" s="26">
        <f>J20+J25+J30</f>
        <v>0</v>
      </c>
      <c r="K15" s="27">
        <v>0</v>
      </c>
      <c r="L15" s="27" t="e">
        <v>#DIV/0!</v>
      </c>
      <c r="M15" s="26">
        <v>0</v>
      </c>
      <c r="N15" s="28">
        <f>N20+N25+N30</f>
        <v>0</v>
      </c>
      <c r="O15" s="27" t="e">
        <v>#DIV/0!</v>
      </c>
      <c r="P15" s="26">
        <f>P20+P25+P30</f>
        <v>0</v>
      </c>
      <c r="Q15" s="28">
        <f>Q20+Q25+Q30</f>
        <v>0</v>
      </c>
      <c r="R15" s="28">
        <v>0</v>
      </c>
      <c r="S15" s="26">
        <f>S20+S25+S30</f>
        <v>290.39999999999998</v>
      </c>
      <c r="T15" s="28">
        <f>T20+T25+T30</f>
        <v>257.26</v>
      </c>
      <c r="U15" s="27">
        <f>T15/S15*100</f>
        <v>88.588154269972449</v>
      </c>
      <c r="V15" s="26">
        <f>V20+V25+V30</f>
        <v>189.6</v>
      </c>
      <c r="W15" s="37">
        <f>W20+W25+W30</f>
        <v>649.94000000000005</v>
      </c>
      <c r="X15" s="27">
        <f>W15/V15*100</f>
        <v>342.79535864978908</v>
      </c>
      <c r="Y15" s="26">
        <v>0</v>
      </c>
      <c r="Z15" s="28">
        <v>3884.79</v>
      </c>
      <c r="AA15" s="27" t="e">
        <v>#DIV/0!</v>
      </c>
      <c r="AB15" s="26">
        <f t="shared" si="3"/>
        <v>0</v>
      </c>
      <c r="AC15" s="28">
        <f t="shared" si="3"/>
        <v>144.65899999999999</v>
      </c>
      <c r="AD15" s="27" t="e">
        <v>#DIV/0!</v>
      </c>
      <c r="AE15" s="26">
        <f t="shared" si="4"/>
        <v>0</v>
      </c>
      <c r="AF15" s="28">
        <f t="shared" si="4"/>
        <v>330.86102</v>
      </c>
      <c r="AG15" s="27" t="e">
        <f>AF15/AE15*100</f>
        <v>#DIV/0!</v>
      </c>
      <c r="AH15" s="26">
        <f>AH20+AH25+AH30</f>
        <v>5000</v>
      </c>
      <c r="AI15" s="28">
        <f>AI20+AI25+AI30</f>
        <v>0</v>
      </c>
      <c r="AJ15" s="27">
        <f>AI15/AH15*100</f>
        <v>0</v>
      </c>
      <c r="AK15" s="26">
        <f>AK20+AK25+AK30</f>
        <v>0</v>
      </c>
      <c r="AL15" s="28">
        <v>0</v>
      </c>
      <c r="AM15" s="27" t="e">
        <v>#DIV/0!</v>
      </c>
      <c r="AN15" s="46">
        <f>AN20+AN25+AN30</f>
        <v>0</v>
      </c>
      <c r="AO15" s="28">
        <v>0</v>
      </c>
      <c r="AP15" s="45" t="e">
        <v>#DIV/0!</v>
      </c>
      <c r="AQ15" s="20"/>
    </row>
    <row r="16" spans="1:43" ht="43.5" customHeight="1" x14ac:dyDescent="0.25">
      <c r="A16" s="94"/>
      <c r="B16" s="97"/>
      <c r="C16" s="16" t="s">
        <v>24</v>
      </c>
      <c r="D16" s="41">
        <f t="shared" si="0"/>
        <v>0</v>
      </c>
      <c r="E16" s="41">
        <f t="shared" si="0"/>
        <v>0</v>
      </c>
      <c r="F16" s="25" t="e">
        <f t="shared" si="1"/>
        <v>#DIV/0!</v>
      </c>
      <c r="G16" s="30">
        <f t="shared" si="2"/>
        <v>0</v>
      </c>
      <c r="H16" s="25">
        <f t="shared" si="2"/>
        <v>0</v>
      </c>
      <c r="I16" s="27" t="e">
        <v>#DIV/0!</v>
      </c>
      <c r="J16" s="30">
        <f>J21+J26+J31</f>
        <v>0</v>
      </c>
      <c r="K16" s="27">
        <v>0</v>
      </c>
      <c r="L16" s="27" t="e">
        <v>#DIV/0!</v>
      </c>
      <c r="M16" s="30">
        <f>M21+M26+M31</f>
        <v>0</v>
      </c>
      <c r="N16" s="31">
        <v>0</v>
      </c>
      <c r="O16" s="27" t="e">
        <v>#DIV/0!</v>
      </c>
      <c r="P16" s="30">
        <f>P21+P26+P31</f>
        <v>0</v>
      </c>
      <c r="Q16" s="31">
        <v>0</v>
      </c>
      <c r="R16" s="28" t="e">
        <v>#DIV/0!</v>
      </c>
      <c r="S16" s="30">
        <f>S21+S26+S31</f>
        <v>0</v>
      </c>
      <c r="T16" s="31">
        <v>0</v>
      </c>
      <c r="U16" s="27" t="e">
        <v>#DIV/0!</v>
      </c>
      <c r="V16" s="30">
        <f>V21+V26+V31</f>
        <v>0</v>
      </c>
      <c r="W16" s="38">
        <v>0</v>
      </c>
      <c r="X16" s="27" t="e">
        <v>#DIV/0!</v>
      </c>
      <c r="Y16" s="30">
        <v>0</v>
      </c>
      <c r="Z16" s="31">
        <f>Z21+Z26+Z31</f>
        <v>0</v>
      </c>
      <c r="AA16" s="27" t="e">
        <v>#DIV/0!</v>
      </c>
      <c r="AB16" s="30">
        <f>AB21+AB26+AB31</f>
        <v>0</v>
      </c>
      <c r="AC16" s="31">
        <v>0</v>
      </c>
      <c r="AD16" s="27" t="e">
        <v>#DIV/0!</v>
      </c>
      <c r="AE16" s="30">
        <f>AE21+AE26+AE31</f>
        <v>0</v>
      </c>
      <c r="AF16" s="25">
        <v>0</v>
      </c>
      <c r="AG16" s="27" t="e">
        <v>#DIV/0!</v>
      </c>
      <c r="AH16" s="30">
        <f>AH21+AH26+AH31</f>
        <v>0</v>
      </c>
      <c r="AI16" s="31">
        <v>0</v>
      </c>
      <c r="AJ16" s="27" t="e">
        <v>#DIV/0!</v>
      </c>
      <c r="AK16" s="30">
        <f>AK21+AK26+AK31</f>
        <v>0</v>
      </c>
      <c r="AL16" s="31">
        <v>0</v>
      </c>
      <c r="AM16" s="27" t="e">
        <v>#DIV/0!</v>
      </c>
      <c r="AN16" s="47">
        <f>AN21+AN26+AN31</f>
        <v>0</v>
      </c>
      <c r="AO16" s="31">
        <v>0</v>
      </c>
      <c r="AP16" s="31" t="e">
        <v>#DIV/0!</v>
      </c>
      <c r="AQ16" s="20"/>
    </row>
    <row r="17" spans="1:43" ht="39" customHeight="1" x14ac:dyDescent="0.25">
      <c r="A17" s="83" t="s">
        <v>25</v>
      </c>
      <c r="B17" s="86" t="s">
        <v>33</v>
      </c>
      <c r="C17" s="16" t="s">
        <v>20</v>
      </c>
      <c r="D17" s="39">
        <f>G17+J17+M17+P17+S17+V17+Y17+AB17+AE17+AH17+AK17+AN17</f>
        <v>11003.382000000001</v>
      </c>
      <c r="E17" s="39">
        <f t="shared" si="0"/>
        <v>9658.2310300000008</v>
      </c>
      <c r="F17" s="32">
        <f t="shared" si="1"/>
        <v>87.775113415130008</v>
      </c>
      <c r="G17" s="32">
        <f>G18+G19+G20+G21</f>
        <v>0</v>
      </c>
      <c r="H17" s="32">
        <f>H18+H19+H20+H21</f>
        <v>0</v>
      </c>
      <c r="I17" s="32" t="e">
        <v>#DIV/0!</v>
      </c>
      <c r="J17" s="32">
        <f>J18+J19+J20+J21</f>
        <v>168</v>
      </c>
      <c r="K17" s="32">
        <f>K18+K19+K20+K21</f>
        <v>0.82499999999999996</v>
      </c>
      <c r="L17" s="32">
        <f>K17/J17*100</f>
        <v>0.49107142857142855</v>
      </c>
      <c r="M17" s="32">
        <f>M18+M19+M20+M21</f>
        <v>330.83299999999997</v>
      </c>
      <c r="N17" s="32">
        <f>N18+N19</f>
        <v>4.67</v>
      </c>
      <c r="O17" s="32">
        <f>N17/M17*100</f>
        <v>1.4115883240184626</v>
      </c>
      <c r="P17" s="32">
        <f>P18+P19+P20+P21</f>
        <v>1035.4929999999999</v>
      </c>
      <c r="Q17" s="32">
        <f>Q18+Q19+Q20+Q21</f>
        <v>271.92</v>
      </c>
      <c r="R17" s="33">
        <f>Q17/P17*100</f>
        <v>26.259955402885392</v>
      </c>
      <c r="S17" s="32">
        <f>S18+S19+S20+S21</f>
        <v>850.28300000000002</v>
      </c>
      <c r="T17" s="32">
        <f>T18+T19+T20+T21</f>
        <v>361.22</v>
      </c>
      <c r="U17" s="33">
        <f>T17/S17*100</f>
        <v>42.482326472480345</v>
      </c>
      <c r="V17" s="32">
        <f>V18+V19+V20+V21</f>
        <v>942.32899999999995</v>
      </c>
      <c r="W17" s="39">
        <f>W18+W19+W20+W21</f>
        <v>956.53</v>
      </c>
      <c r="X17" s="33">
        <f>W17/V17*100</f>
        <v>101.50701082106144</v>
      </c>
      <c r="Y17" s="32">
        <f>Y18+Y19+Y20+Y21</f>
        <v>620.83699999999999</v>
      </c>
      <c r="Z17" s="32">
        <f>Z18+Z19+Z20+Z21</f>
        <v>5103.9400000000005</v>
      </c>
      <c r="AA17" s="33">
        <f>Z17/Y17*100</f>
        <v>822.10628554676998</v>
      </c>
      <c r="AB17" s="32">
        <f>AB18+AB19+AB20+AB21</f>
        <v>517.1930000000001</v>
      </c>
      <c r="AC17" s="32">
        <f>AC18+AC19+AC20+AC21</f>
        <v>842.25799999999992</v>
      </c>
      <c r="AD17" s="33">
        <f>AC17/AB17*100</f>
        <v>162.8517787363711</v>
      </c>
      <c r="AE17" s="32">
        <f>AE18+AE19+AE20+AE21</f>
        <v>528.5630000000001</v>
      </c>
      <c r="AF17" s="32">
        <f>AF18+AF19+AF20+AF21</f>
        <v>779.70803000000001</v>
      </c>
      <c r="AG17" s="33">
        <f>AF17/AE17*100</f>
        <v>147.51468226114955</v>
      </c>
      <c r="AH17" s="32">
        <f>AH18+AH19+AH20+AH21</f>
        <v>5383.9870000000001</v>
      </c>
      <c r="AI17" s="32">
        <f>AI18+AI19+AI20+AI21</f>
        <v>1337.1599999999999</v>
      </c>
      <c r="AJ17" s="33">
        <f>AI17/AH17*100</f>
        <v>24.835869774574117</v>
      </c>
      <c r="AK17" s="32">
        <f>AK18+AK19+AK20+AK21</f>
        <v>312.93200000000002</v>
      </c>
      <c r="AL17" s="32">
        <v>0</v>
      </c>
      <c r="AM17" s="33" t="e">
        <v>#DIV/0!</v>
      </c>
      <c r="AN17" s="32">
        <f>AN18+AN19+AN20+AN21</f>
        <v>312.93200000000002</v>
      </c>
      <c r="AO17" s="32">
        <v>0</v>
      </c>
      <c r="AP17" s="32" t="e">
        <v>#DIV/0!</v>
      </c>
      <c r="AQ17" s="17"/>
    </row>
    <row r="18" spans="1:43" ht="26.25" customHeight="1" x14ac:dyDescent="0.25">
      <c r="A18" s="84"/>
      <c r="B18" s="87"/>
      <c r="C18" s="18" t="s">
        <v>21</v>
      </c>
      <c r="D18" s="41">
        <f t="shared" si="0"/>
        <v>4720.0839999999998</v>
      </c>
      <c r="E18" s="41">
        <f t="shared" si="0"/>
        <v>3945.6234400000003</v>
      </c>
      <c r="F18" s="25">
        <f t="shared" si="1"/>
        <v>83.592229290834666</v>
      </c>
      <c r="G18" s="30">
        <v>0</v>
      </c>
      <c r="H18" s="25">
        <v>0</v>
      </c>
      <c r="I18" s="27" t="e">
        <v>#DIV/0!</v>
      </c>
      <c r="J18" s="30">
        <v>168</v>
      </c>
      <c r="K18" s="27">
        <v>0.82499999999999996</v>
      </c>
      <c r="L18" s="27">
        <f>K18/J18*100</f>
        <v>0.49107142857142855</v>
      </c>
      <c r="M18" s="30">
        <v>242</v>
      </c>
      <c r="N18" s="25">
        <v>0</v>
      </c>
      <c r="O18" s="27">
        <f>N18/M18*100</f>
        <v>0</v>
      </c>
      <c r="P18" s="30">
        <f>928.2-57.25+0.01</f>
        <v>870.96</v>
      </c>
      <c r="Q18" s="25">
        <v>262.57</v>
      </c>
      <c r="R18" s="28">
        <f>Q18/P18*100</f>
        <v>30.14719390098282</v>
      </c>
      <c r="S18" s="30">
        <f>778.2-57.25</f>
        <v>720.95</v>
      </c>
      <c r="T18" s="25">
        <v>99.28</v>
      </c>
      <c r="U18" s="27">
        <f>T18/S18*100</f>
        <v>13.770719189957696</v>
      </c>
      <c r="V18" s="56">
        <f>854.4+45.196</f>
        <v>899.596</v>
      </c>
      <c r="W18" s="57">
        <v>197.48</v>
      </c>
      <c r="X18" s="27">
        <f>W18/V18*100</f>
        <v>21.952076265345777</v>
      </c>
      <c r="Y18" s="30">
        <f>806.9+45.196-510.525</f>
        <v>341.57100000000003</v>
      </c>
      <c r="Z18" s="25">
        <v>934.58</v>
      </c>
      <c r="AA18" s="27">
        <f>Z18/Y18*100</f>
        <v>273.61222117802743</v>
      </c>
      <c r="AB18" s="30">
        <f>722+45.196-510.525+141.922</f>
        <v>398.59300000000007</v>
      </c>
      <c r="AC18" s="25">
        <v>837.58299999999997</v>
      </c>
      <c r="AD18" s="27">
        <f>AC18/AB18*100</f>
        <v>210.13489950902294</v>
      </c>
      <c r="AE18" s="30">
        <f>729.1+45.196-510.525+141.922+7.87</f>
        <v>413.5630000000001</v>
      </c>
      <c r="AF18" s="25">
        <v>505.75544000000002</v>
      </c>
      <c r="AG18" s="27">
        <f>AF18/AE18*100</f>
        <v>122.29223600757319</v>
      </c>
      <c r="AH18" s="30">
        <f>564+45.196-510.525+141.922+7.87+20.524</f>
        <v>268.98700000000008</v>
      </c>
      <c r="AI18" s="54">
        <v>1107.55</v>
      </c>
      <c r="AJ18" s="27">
        <f>AI18/AH18*100</f>
        <v>411.74852316282926</v>
      </c>
      <c r="AK18" s="30">
        <f>45.196+141.922+7.87+20.524-17.58</f>
        <v>197.93200000000002</v>
      </c>
      <c r="AL18" s="25">
        <v>0</v>
      </c>
      <c r="AM18" s="27" t="e">
        <v>#DIV/0!</v>
      </c>
      <c r="AN18" s="47">
        <f>45.196+141.922+7.87+20.524-17.58</f>
        <v>197.93200000000002</v>
      </c>
      <c r="AO18" s="25">
        <v>0</v>
      </c>
      <c r="AP18" s="43" t="e">
        <v>#DIV/0!</v>
      </c>
      <c r="AQ18" s="19"/>
    </row>
    <row r="19" spans="1:43" ht="26.25" customHeight="1" x14ac:dyDescent="0.25">
      <c r="A19" s="84"/>
      <c r="B19" s="87"/>
      <c r="C19" s="16" t="s">
        <v>22</v>
      </c>
      <c r="D19" s="41">
        <f t="shared" si="0"/>
        <v>1283.298</v>
      </c>
      <c r="E19" s="41">
        <f t="shared" si="0"/>
        <v>712.61157000000003</v>
      </c>
      <c r="F19" s="25">
        <f t="shared" si="1"/>
        <v>55.529703155463508</v>
      </c>
      <c r="G19" s="30">
        <v>0</v>
      </c>
      <c r="H19" s="25">
        <v>0</v>
      </c>
      <c r="I19" s="27" t="e">
        <v>#DIV/0!</v>
      </c>
      <c r="J19" s="30">
        <v>0</v>
      </c>
      <c r="K19" s="27">
        <v>0</v>
      </c>
      <c r="L19" s="27" t="e">
        <v>#DIV/0!</v>
      </c>
      <c r="M19" s="30">
        <f>94.7-5.867</f>
        <v>88.832999999999998</v>
      </c>
      <c r="N19" s="25">
        <v>4.67</v>
      </c>
      <c r="O19" s="27">
        <f>N19/M19*100</f>
        <v>5.2570553735661294</v>
      </c>
      <c r="P19" s="30">
        <f>170.4-5.867</f>
        <v>164.53300000000002</v>
      </c>
      <c r="Q19" s="25">
        <v>9.35</v>
      </c>
      <c r="R19" s="28">
        <f>Q19/P19*100</f>
        <v>5.6827505728334131</v>
      </c>
      <c r="S19" s="30">
        <f>135.2-5.867</f>
        <v>129.333</v>
      </c>
      <c r="T19" s="25">
        <v>4.68</v>
      </c>
      <c r="U19" s="27">
        <f>T19/S19*100</f>
        <v>3.6185660272320286</v>
      </c>
      <c r="V19" s="30">
        <f>48.6-5.867</f>
        <v>42.733000000000004</v>
      </c>
      <c r="W19" s="57">
        <v>109.11</v>
      </c>
      <c r="X19" s="27">
        <f>W19/V19*100</f>
        <v>255.32960475510728</v>
      </c>
      <c r="Y19" s="30">
        <f>176-11.734+115</f>
        <v>279.26599999999996</v>
      </c>
      <c r="Z19" s="25">
        <v>284.57</v>
      </c>
      <c r="AA19" s="27">
        <v>0</v>
      </c>
      <c r="AB19" s="30">
        <f>3.6+115</f>
        <v>118.6</v>
      </c>
      <c r="AC19" s="25">
        <v>4.6749999999999998</v>
      </c>
      <c r="AD19" s="27">
        <f>AC19/AB19*100</f>
        <v>3.9418212478920744</v>
      </c>
      <c r="AE19" s="30">
        <v>115</v>
      </c>
      <c r="AF19" s="25">
        <v>65.946569999999994</v>
      </c>
      <c r="AG19" s="27">
        <f>AF19/AE19*100</f>
        <v>57.344843478260863</v>
      </c>
      <c r="AH19" s="30">
        <v>115</v>
      </c>
      <c r="AI19" s="54">
        <v>229.61</v>
      </c>
      <c r="AJ19" s="27">
        <f>AI19/AH19*100</f>
        <v>199.66086956521741</v>
      </c>
      <c r="AK19" s="30">
        <v>115</v>
      </c>
      <c r="AL19" s="25">
        <v>0</v>
      </c>
      <c r="AM19" s="27" t="e">
        <v>#DIV/0!</v>
      </c>
      <c r="AN19" s="47">
        <v>115</v>
      </c>
      <c r="AO19" s="25">
        <v>0</v>
      </c>
      <c r="AP19" s="43" t="e">
        <v>#DIV/0!</v>
      </c>
      <c r="AQ19" s="20"/>
    </row>
    <row r="20" spans="1:43" ht="26.25" customHeight="1" x14ac:dyDescent="0.25">
      <c r="A20" s="84"/>
      <c r="B20" s="87"/>
      <c r="C20" s="18" t="s">
        <v>23</v>
      </c>
      <c r="D20" s="41">
        <f t="shared" si="0"/>
        <v>5000</v>
      </c>
      <c r="E20" s="41">
        <f t="shared" si="0"/>
        <v>4999.9960199999996</v>
      </c>
      <c r="F20" s="25">
        <f t="shared" si="1"/>
        <v>99.999920399999979</v>
      </c>
      <c r="G20" s="30">
        <v>0</v>
      </c>
      <c r="H20" s="25">
        <v>0</v>
      </c>
      <c r="I20" s="27" t="e">
        <v>#DIV/0!</v>
      </c>
      <c r="J20" s="30">
        <v>0</v>
      </c>
      <c r="K20" s="27">
        <v>0</v>
      </c>
      <c r="L20" s="27" t="e">
        <v>#DIV/0!</v>
      </c>
      <c r="M20" s="30">
        <v>0</v>
      </c>
      <c r="N20" s="31">
        <v>0</v>
      </c>
      <c r="O20" s="27" t="e">
        <v>#DIV/0!</v>
      </c>
      <c r="P20" s="30">
        <f>50.4-50.4</f>
        <v>0</v>
      </c>
      <c r="Q20" s="31">
        <v>0</v>
      </c>
      <c r="R20" s="28">
        <v>0</v>
      </c>
      <c r="S20" s="30">
        <f>50.4-50.4</f>
        <v>0</v>
      </c>
      <c r="T20" s="25">
        <v>257.26</v>
      </c>
      <c r="U20" s="27" t="e">
        <f>T20/S20*100</f>
        <v>#DIV/0!</v>
      </c>
      <c r="V20" s="30">
        <v>0</v>
      </c>
      <c r="W20" s="57">
        <v>649.94000000000005</v>
      </c>
      <c r="X20" s="27" t="e">
        <f>W20/V20*100</f>
        <v>#DIV/0!</v>
      </c>
      <c r="Y20" s="30">
        <v>0</v>
      </c>
      <c r="Z20" s="25">
        <v>3884.79</v>
      </c>
      <c r="AA20" s="27" t="e">
        <f>Z20/Y20*100</f>
        <v>#DIV/0!</v>
      </c>
      <c r="AB20" s="30">
        <v>0</v>
      </c>
      <c r="AC20" s="25">
        <v>0</v>
      </c>
      <c r="AD20" s="27" t="e">
        <v>#DIV/0!</v>
      </c>
      <c r="AE20" s="30">
        <v>0</v>
      </c>
      <c r="AF20" s="25">
        <v>208.00602000000001</v>
      </c>
      <c r="AG20" s="27" t="e">
        <v>#DIV/0!</v>
      </c>
      <c r="AH20" s="30">
        <v>5000</v>
      </c>
      <c r="AI20" s="54">
        <v>0</v>
      </c>
      <c r="AJ20" s="27">
        <v>0</v>
      </c>
      <c r="AK20" s="30">
        <v>0</v>
      </c>
      <c r="AL20" s="25">
        <v>0</v>
      </c>
      <c r="AM20" s="27" t="e">
        <v>#DIV/0!</v>
      </c>
      <c r="AN20" s="47">
        <v>0</v>
      </c>
      <c r="AO20" s="25">
        <v>0</v>
      </c>
      <c r="AP20" s="43" t="e">
        <v>#DIV/0!</v>
      </c>
      <c r="AQ20" s="20"/>
    </row>
    <row r="21" spans="1:43" ht="34.5" customHeight="1" x14ac:dyDescent="0.25">
      <c r="A21" s="85"/>
      <c r="B21" s="88"/>
      <c r="C21" s="16" t="s">
        <v>24</v>
      </c>
      <c r="D21" s="41">
        <f>G21+J21+M21+P21+S21+V21+Y21+AB21+AE21+AH21+AK21+AN21</f>
        <v>0</v>
      </c>
      <c r="E21" s="41">
        <f>H21+K21+N21+Q21+T21+W21+Z21+AC21+AF21+AI21+AL21+AO21</f>
        <v>0</v>
      </c>
      <c r="F21" s="25" t="e">
        <v>#DIV/0!</v>
      </c>
      <c r="G21" s="30">
        <v>0</v>
      </c>
      <c r="H21" s="25">
        <v>0</v>
      </c>
      <c r="I21" s="27" t="e">
        <v>#DIV/0!</v>
      </c>
      <c r="J21" s="30">
        <v>0</v>
      </c>
      <c r="K21" s="27">
        <v>0</v>
      </c>
      <c r="L21" s="27" t="e">
        <v>#DIV/0!</v>
      </c>
      <c r="M21" s="30">
        <v>0</v>
      </c>
      <c r="N21" s="31">
        <v>0</v>
      </c>
      <c r="O21" s="27" t="e">
        <v>#DIV/0!</v>
      </c>
      <c r="P21" s="30">
        <v>0</v>
      </c>
      <c r="Q21" s="31">
        <v>0</v>
      </c>
      <c r="R21" s="28" t="e">
        <v>#DIV/0!</v>
      </c>
      <c r="S21" s="30">
        <v>0</v>
      </c>
      <c r="T21" s="31">
        <v>0</v>
      </c>
      <c r="U21" s="27" t="e">
        <v>#DIV/0!</v>
      </c>
      <c r="V21" s="30">
        <v>0</v>
      </c>
      <c r="W21" s="38">
        <v>0</v>
      </c>
      <c r="X21" s="27" t="e">
        <v>#DIV/0!</v>
      </c>
      <c r="Y21" s="30">
        <v>0</v>
      </c>
      <c r="Z21" s="31">
        <v>0</v>
      </c>
      <c r="AA21" s="27" t="e">
        <v>#DIV/0!</v>
      </c>
      <c r="AB21" s="30">
        <v>0</v>
      </c>
      <c r="AC21" s="31">
        <v>0</v>
      </c>
      <c r="AD21" s="27" t="e">
        <v>#DIV/0!</v>
      </c>
      <c r="AE21" s="30">
        <v>0</v>
      </c>
      <c r="AF21" s="31">
        <v>0</v>
      </c>
      <c r="AG21" s="27" t="e">
        <v>#DIV/0!</v>
      </c>
      <c r="AH21" s="30">
        <v>0</v>
      </c>
      <c r="AI21" s="31">
        <v>0</v>
      </c>
      <c r="AJ21" s="27" t="e">
        <v>#DIV/0!</v>
      </c>
      <c r="AK21" s="30">
        <v>0</v>
      </c>
      <c r="AL21" s="31">
        <v>0</v>
      </c>
      <c r="AM21" s="27" t="e">
        <v>#DIV/0!</v>
      </c>
      <c r="AN21" s="47">
        <v>0</v>
      </c>
      <c r="AO21" s="31">
        <v>0</v>
      </c>
      <c r="AP21" s="31" t="e">
        <v>#DIV/0!</v>
      </c>
      <c r="AQ21" s="20"/>
    </row>
    <row r="22" spans="1:43" ht="37.5" customHeight="1" x14ac:dyDescent="0.25">
      <c r="A22" s="83" t="s">
        <v>26</v>
      </c>
      <c r="B22" s="89" t="s">
        <v>34</v>
      </c>
      <c r="C22" s="16" t="s">
        <v>20</v>
      </c>
      <c r="D22" s="39">
        <f>G22+J22+M22+P22+S22+V22+Y22+AB22+AE22+AH22+AK22+AN22</f>
        <v>4959.5529999999999</v>
      </c>
      <c r="E22" s="39">
        <f>H22+K22+N22+Q22+T22+W22+Z22+AC22+AF22+AI22+AL22+AO22</f>
        <v>3880.1963700000001</v>
      </c>
      <c r="F22" s="32">
        <f>E22/D22*100</f>
        <v>78.23681630179172</v>
      </c>
      <c r="G22" s="32">
        <f>G23+G24+G25+G26</f>
        <v>0</v>
      </c>
      <c r="H22" s="32">
        <f>H23+H24+H25+H26</f>
        <v>0</v>
      </c>
      <c r="I22" s="33" t="e">
        <v>#DIV/0!</v>
      </c>
      <c r="J22" s="32">
        <f>J23+J24+J25+J26</f>
        <v>124.62</v>
      </c>
      <c r="K22" s="33">
        <f>K23+K24+K25+K26</f>
        <v>0</v>
      </c>
      <c r="L22" s="33">
        <f>K22/J22*100</f>
        <v>0</v>
      </c>
      <c r="M22" s="32">
        <f>M23+M24+M25+M26</f>
        <v>1019.62</v>
      </c>
      <c r="N22" s="32">
        <f>N23</f>
        <v>213.86</v>
      </c>
      <c r="O22" s="33">
        <f>N22/M22*100</f>
        <v>20.974480688884096</v>
      </c>
      <c r="P22" s="32">
        <f>P23+P24+P25+P26</f>
        <v>624.13</v>
      </c>
      <c r="Q22" s="32">
        <f>Q23+Q24+Q25+Q26</f>
        <v>447.07</v>
      </c>
      <c r="R22" s="33">
        <f>Q22/P22*100</f>
        <v>71.63091022703604</v>
      </c>
      <c r="S22" s="32">
        <f>S23+S24+S25+S26</f>
        <v>1630.3200000000002</v>
      </c>
      <c r="T22" s="32">
        <f>T23+T24+T25+T26</f>
        <v>2</v>
      </c>
      <c r="U22" s="33">
        <f>T22/S22*100</f>
        <v>0.12267530300799842</v>
      </c>
      <c r="V22" s="32">
        <f>V23+V24+V25+V26</f>
        <v>1355.0360000000001</v>
      </c>
      <c r="W22" s="39">
        <f>W23+W24+W25+W26</f>
        <v>323.60000000000002</v>
      </c>
      <c r="X22" s="33">
        <f>W22/V22*100</f>
        <v>23.881284334881141</v>
      </c>
      <c r="Y22" s="32">
        <f>Y23+Y24+Y25+Y26</f>
        <v>405.43600000000004</v>
      </c>
      <c r="Z22" s="32">
        <f>Z23+Z24+Z25+Z26</f>
        <v>6.16</v>
      </c>
      <c r="AA22" s="33">
        <f>Z22/Y22*100</f>
        <v>1.5193520062352628</v>
      </c>
      <c r="AB22" s="32">
        <f>AB23+AB24+AB25+AB26</f>
        <v>287.54400000000004</v>
      </c>
      <c r="AC22" s="32">
        <f>AC23+AC24+AC25+AC26</f>
        <v>1303.8389999999999</v>
      </c>
      <c r="AD22" s="33">
        <f>AC22/AB22*100</f>
        <v>453.43982138385763</v>
      </c>
      <c r="AE22" s="32">
        <f>AE23+AE24+AE25+AE26</f>
        <v>287.54400000000004</v>
      </c>
      <c r="AF22" s="32">
        <f>AF23+AF24+AF25+AF26</f>
        <v>1538.8373700000002</v>
      </c>
      <c r="AG22" s="33">
        <f>AF22/AE22*100</f>
        <v>535.16587722226859</v>
      </c>
      <c r="AH22" s="32">
        <f>AH23+AH24+AH25+AH26</f>
        <v>287.54600000000005</v>
      </c>
      <c r="AI22" s="32">
        <f>AI23+AI24+AI25+AI26</f>
        <v>44.83</v>
      </c>
      <c r="AJ22" s="33">
        <f>AI22/AH22*100</f>
        <v>15.590548990422398</v>
      </c>
      <c r="AK22" s="32">
        <f>AK23+AK24+AK25+AK26</f>
        <v>-214.19299999999987</v>
      </c>
      <c r="AL22" s="32">
        <v>0</v>
      </c>
      <c r="AM22" s="33">
        <v>0</v>
      </c>
      <c r="AN22" s="48">
        <f>AN23+AN24+AN25+AN26</f>
        <v>-848.05</v>
      </c>
      <c r="AO22" s="32">
        <v>0</v>
      </c>
      <c r="AP22" s="32" t="e">
        <v>#DIV/0!</v>
      </c>
      <c r="AQ22" s="17"/>
    </row>
    <row r="23" spans="1:43" ht="26.25" customHeight="1" x14ac:dyDescent="0.25">
      <c r="A23" s="84"/>
      <c r="B23" s="90"/>
      <c r="C23" s="16" t="s">
        <v>21</v>
      </c>
      <c r="D23" s="41">
        <f t="shared" ref="D23:E31" si="5">G23+J23+M23+P23+S23+V23+Y23+AB23+AE23+AH23+AK23+AN23</f>
        <v>2959.5530000000008</v>
      </c>
      <c r="E23" s="41">
        <f t="shared" si="5"/>
        <v>2588.4759999999997</v>
      </c>
      <c r="F23" s="25">
        <f>E23/D23*100</f>
        <v>87.461721415362348</v>
      </c>
      <c r="G23" s="30">
        <v>0</v>
      </c>
      <c r="H23" s="25">
        <v>0</v>
      </c>
      <c r="I23" s="27" t="e">
        <v>#DIV/0!</v>
      </c>
      <c r="J23" s="30">
        <f>84+40.62</f>
        <v>124.62</v>
      </c>
      <c r="K23" s="27">
        <v>0</v>
      </c>
      <c r="L23" s="27">
        <v>0</v>
      </c>
      <c r="M23" s="30">
        <f>979+40.62</f>
        <v>1019.62</v>
      </c>
      <c r="N23" s="25">
        <v>213.86</v>
      </c>
      <c r="O23" s="27">
        <f>N23/M23*100</f>
        <v>20.974480688884096</v>
      </c>
      <c r="P23" s="30">
        <f>583.5+40.62+0.01</f>
        <v>624.13</v>
      </c>
      <c r="Q23" s="25">
        <v>447.07</v>
      </c>
      <c r="R23" s="28">
        <f>Q23/P23*100</f>
        <v>71.63091022703604</v>
      </c>
      <c r="S23" s="30">
        <f>539.3+40.62</f>
        <v>579.91999999999996</v>
      </c>
      <c r="T23" s="25">
        <v>2</v>
      </c>
      <c r="U23" s="27">
        <f>T23/S23*100</f>
        <v>0.34487515519381984</v>
      </c>
      <c r="V23" s="55">
        <f>463+40.62-98.184</f>
        <v>405.43600000000004</v>
      </c>
      <c r="W23" s="57">
        <v>253.6</v>
      </c>
      <c r="X23" s="27">
        <f>W23/V23*100</f>
        <v>62.549946230724451</v>
      </c>
      <c r="Y23" s="30">
        <f>463+40.62-98.184</f>
        <v>405.43600000000004</v>
      </c>
      <c r="Z23" s="25">
        <v>6.16</v>
      </c>
      <c r="AA23" s="27">
        <f>Z23/Y23*100</f>
        <v>1.5193520062352628</v>
      </c>
      <c r="AB23" s="30">
        <f>463+40.62-98.184-117.892</f>
        <v>287.54400000000004</v>
      </c>
      <c r="AC23" s="25">
        <v>821.64</v>
      </c>
      <c r="AD23" s="27">
        <f>AC23/AB23*100</f>
        <v>285.74409481679322</v>
      </c>
      <c r="AE23" s="30">
        <f>463+40.62-98.184-117.892</f>
        <v>287.54400000000004</v>
      </c>
      <c r="AF23" s="25">
        <v>829.31600000000003</v>
      </c>
      <c r="AG23" s="27">
        <f>AF23/AE23*100</f>
        <v>288.41359931001864</v>
      </c>
      <c r="AH23" s="30">
        <f>463+40.62-98.184-117.89</f>
        <v>287.54600000000005</v>
      </c>
      <c r="AI23" s="54">
        <v>14.83</v>
      </c>
      <c r="AJ23" s="27">
        <f>AI23/AH23*100</f>
        <v>5.15743567985644</v>
      </c>
      <c r="AK23" s="30">
        <f>927.2+40.62-98.184-235.779-848.05</f>
        <v>-214.19299999999987</v>
      </c>
      <c r="AL23" s="25">
        <v>0</v>
      </c>
      <c r="AM23" s="27">
        <v>0</v>
      </c>
      <c r="AN23" s="47">
        <v>-848.05</v>
      </c>
      <c r="AO23" s="25">
        <v>0</v>
      </c>
      <c r="AP23" s="43" t="e">
        <v>#DIV/0!</v>
      </c>
      <c r="AQ23" s="19"/>
    </row>
    <row r="24" spans="1:43" ht="26.25" customHeight="1" x14ac:dyDescent="0.25">
      <c r="A24" s="84"/>
      <c r="B24" s="90"/>
      <c r="C24" s="18" t="s">
        <v>22</v>
      </c>
      <c r="D24" s="41">
        <f t="shared" si="5"/>
        <v>1520</v>
      </c>
      <c r="E24" s="41">
        <f t="shared" si="5"/>
        <v>1024.2063700000001</v>
      </c>
      <c r="F24" s="25">
        <f>E24/D24*100</f>
        <v>67.381998026315799</v>
      </c>
      <c r="G24" s="30">
        <v>0</v>
      </c>
      <c r="H24" s="25">
        <v>0</v>
      </c>
      <c r="I24" s="27" t="e">
        <v>#DIV/0!</v>
      </c>
      <c r="J24" s="30">
        <v>0</v>
      </c>
      <c r="K24" s="27">
        <v>0</v>
      </c>
      <c r="L24" s="27" t="e">
        <v>#DIV/0!</v>
      </c>
      <c r="M24" s="30">
        <v>0</v>
      </c>
      <c r="N24" s="31">
        <v>0</v>
      </c>
      <c r="O24" s="27" t="e">
        <v>#DIV/0!</v>
      </c>
      <c r="P24" s="30">
        <v>0</v>
      </c>
      <c r="Q24" s="31">
        <v>0</v>
      </c>
      <c r="R24" s="28" t="e">
        <v>#DIV/0!</v>
      </c>
      <c r="S24" s="30">
        <f>442.4+117.6+200</f>
        <v>760</v>
      </c>
      <c r="T24" s="31">
        <v>0</v>
      </c>
      <c r="U24" s="27">
        <f>T24/S24*100</f>
        <v>0</v>
      </c>
      <c r="V24" s="30">
        <f>442.4+117.6+200</f>
        <v>760</v>
      </c>
      <c r="W24" s="57">
        <v>70</v>
      </c>
      <c r="X24" s="27">
        <f>W24/V24*100</f>
        <v>9.2105263157894726</v>
      </c>
      <c r="Y24" s="30">
        <v>0</v>
      </c>
      <c r="Z24" s="25">
        <v>0</v>
      </c>
      <c r="AA24" s="27" t="e">
        <v>#DIV/0!</v>
      </c>
      <c r="AB24" s="30">
        <v>0</v>
      </c>
      <c r="AC24" s="25">
        <v>337.54</v>
      </c>
      <c r="AD24" s="27" t="e">
        <v>#DIV/0!</v>
      </c>
      <c r="AE24" s="30">
        <v>0</v>
      </c>
      <c r="AF24" s="25">
        <v>586.66637000000003</v>
      </c>
      <c r="AG24" s="27" t="e">
        <v>#DIV/0!</v>
      </c>
      <c r="AH24" s="30">
        <v>0</v>
      </c>
      <c r="AI24" s="54">
        <v>30</v>
      </c>
      <c r="AJ24" s="27" t="e">
        <v>#DIV/0!</v>
      </c>
      <c r="AK24" s="30">
        <v>0</v>
      </c>
      <c r="AL24" s="31">
        <v>0</v>
      </c>
      <c r="AM24" s="27" t="e">
        <v>#DIV/0!</v>
      </c>
      <c r="AN24" s="47">
        <v>0</v>
      </c>
      <c r="AO24" s="31">
        <v>0</v>
      </c>
      <c r="AP24" s="43" t="e">
        <v>#DIV/0!</v>
      </c>
      <c r="AQ24" s="20"/>
    </row>
    <row r="25" spans="1:43" ht="26.25" customHeight="1" x14ac:dyDescent="0.25">
      <c r="A25" s="84"/>
      <c r="B25" s="90"/>
      <c r="C25" s="18" t="s">
        <v>23</v>
      </c>
      <c r="D25" s="41">
        <f t="shared" si="5"/>
        <v>480</v>
      </c>
      <c r="E25" s="41">
        <f t="shared" si="5"/>
        <v>267.51400000000001</v>
      </c>
      <c r="F25" s="25">
        <f>E25/D25*100</f>
        <v>55.732083333333335</v>
      </c>
      <c r="G25" s="30">
        <v>0</v>
      </c>
      <c r="H25" s="25">
        <v>0</v>
      </c>
      <c r="I25" s="27" t="e">
        <v>#DIV/0!</v>
      </c>
      <c r="J25" s="30">
        <v>0</v>
      </c>
      <c r="K25" s="27">
        <v>0</v>
      </c>
      <c r="L25" s="27" t="e">
        <v>#DIV/0!</v>
      </c>
      <c r="M25" s="30">
        <v>0</v>
      </c>
      <c r="N25" s="31">
        <v>0</v>
      </c>
      <c r="O25" s="27" t="e">
        <v>#DIV/0!</v>
      </c>
      <c r="P25" s="30">
        <v>0</v>
      </c>
      <c r="Q25" s="31">
        <v>0</v>
      </c>
      <c r="R25" s="28" t="e">
        <v>#DIV/0!</v>
      </c>
      <c r="S25" s="30">
        <f>189.6+100.8</f>
        <v>290.39999999999998</v>
      </c>
      <c r="T25" s="31">
        <v>0</v>
      </c>
      <c r="U25" s="27">
        <v>0</v>
      </c>
      <c r="V25" s="30">
        <v>189.6</v>
      </c>
      <c r="W25" s="38">
        <v>0</v>
      </c>
      <c r="X25" s="27">
        <f>W25/V25*100</f>
        <v>0</v>
      </c>
      <c r="Y25" s="30">
        <v>0</v>
      </c>
      <c r="Z25" s="31">
        <v>0</v>
      </c>
      <c r="AA25" s="27" t="e">
        <v>#DIV/0!</v>
      </c>
      <c r="AB25" s="30">
        <v>0</v>
      </c>
      <c r="AC25" s="25">
        <v>144.65899999999999</v>
      </c>
      <c r="AD25" s="27" t="e">
        <v>#DIV/0!</v>
      </c>
      <c r="AE25" s="30">
        <v>0</v>
      </c>
      <c r="AF25" s="25">
        <v>122.855</v>
      </c>
      <c r="AG25" s="27" t="e">
        <v>#DIV/0!</v>
      </c>
      <c r="AH25" s="30">
        <v>0</v>
      </c>
      <c r="AI25" s="54">
        <v>0</v>
      </c>
      <c r="AJ25" s="27" t="e">
        <v>#DIV/0!</v>
      </c>
      <c r="AK25" s="30">
        <v>0</v>
      </c>
      <c r="AL25" s="31">
        <v>0</v>
      </c>
      <c r="AM25" s="27" t="e">
        <v>#DIV/0!</v>
      </c>
      <c r="AN25" s="47">
        <v>0</v>
      </c>
      <c r="AO25" s="31">
        <v>0</v>
      </c>
      <c r="AP25" s="31" t="e">
        <v>#DIV/0!</v>
      </c>
      <c r="AQ25" s="20"/>
    </row>
    <row r="26" spans="1:43" ht="26.25" customHeight="1" x14ac:dyDescent="0.25">
      <c r="A26" s="85"/>
      <c r="B26" s="91"/>
      <c r="C26" s="16" t="s">
        <v>24</v>
      </c>
      <c r="D26" s="41">
        <f t="shared" si="5"/>
        <v>0</v>
      </c>
      <c r="E26" s="41">
        <f t="shared" si="5"/>
        <v>0</v>
      </c>
      <c r="F26" s="25" t="e">
        <v>#DIV/0!</v>
      </c>
      <c r="G26" s="30">
        <v>0</v>
      </c>
      <c r="H26" s="25">
        <v>0</v>
      </c>
      <c r="I26" s="27" t="e">
        <v>#DIV/0!</v>
      </c>
      <c r="J26" s="30">
        <v>0</v>
      </c>
      <c r="K26" s="27">
        <v>0</v>
      </c>
      <c r="L26" s="27" t="e">
        <v>#DIV/0!</v>
      </c>
      <c r="M26" s="30">
        <v>0</v>
      </c>
      <c r="N26" s="31">
        <v>0</v>
      </c>
      <c r="O26" s="27" t="e">
        <v>#DIV/0!</v>
      </c>
      <c r="P26" s="30">
        <v>0</v>
      </c>
      <c r="Q26" s="31">
        <v>0</v>
      </c>
      <c r="R26" s="28" t="e">
        <v>#DIV/0!</v>
      </c>
      <c r="S26" s="30">
        <v>0</v>
      </c>
      <c r="T26" s="31">
        <v>0</v>
      </c>
      <c r="U26" s="27" t="e">
        <v>#DIV/0!</v>
      </c>
      <c r="V26" s="30">
        <v>0</v>
      </c>
      <c r="W26" s="38">
        <v>0</v>
      </c>
      <c r="X26" s="27" t="e">
        <v>#DIV/0!</v>
      </c>
      <c r="Y26" s="30">
        <v>0</v>
      </c>
      <c r="Z26" s="31">
        <v>0</v>
      </c>
      <c r="AA26" s="27" t="e">
        <v>#DIV/0!</v>
      </c>
      <c r="AB26" s="30">
        <v>0</v>
      </c>
      <c r="AC26" s="31">
        <v>0</v>
      </c>
      <c r="AD26" s="27" t="e">
        <v>#DIV/0!</v>
      </c>
      <c r="AE26" s="30">
        <v>0</v>
      </c>
      <c r="AF26" s="31">
        <v>0</v>
      </c>
      <c r="AG26" s="27" t="e">
        <v>#DIV/0!</v>
      </c>
      <c r="AH26" s="30">
        <v>0</v>
      </c>
      <c r="AI26" s="31">
        <v>0</v>
      </c>
      <c r="AJ26" s="27" t="e">
        <v>#DIV/0!</v>
      </c>
      <c r="AK26" s="30">
        <v>0</v>
      </c>
      <c r="AL26" s="31">
        <v>0</v>
      </c>
      <c r="AM26" s="27" t="e">
        <v>#DIV/0!</v>
      </c>
      <c r="AN26" s="47">
        <v>0</v>
      </c>
      <c r="AO26" s="31">
        <v>0</v>
      </c>
      <c r="AP26" s="31" t="e">
        <v>#DIV/0!</v>
      </c>
      <c r="AQ26" s="20"/>
    </row>
    <row r="27" spans="1:43" ht="39" customHeight="1" x14ac:dyDescent="0.25">
      <c r="A27" s="83" t="s">
        <v>32</v>
      </c>
      <c r="B27" s="89" t="s">
        <v>35</v>
      </c>
      <c r="C27" s="21" t="s">
        <v>20</v>
      </c>
      <c r="D27" s="40">
        <f t="shared" si="5"/>
        <v>396401.41500000004</v>
      </c>
      <c r="E27" s="39">
        <f t="shared" si="5"/>
        <v>322132.17599999998</v>
      </c>
      <c r="F27" s="32">
        <f>E27/D27*100</f>
        <v>81.26413373171232</v>
      </c>
      <c r="G27" s="34">
        <f>G28+G29+G30+G31</f>
        <v>26182.3</v>
      </c>
      <c r="H27" s="34">
        <f>H28+H29+H30+H31</f>
        <v>10562.7</v>
      </c>
      <c r="I27" s="33">
        <f>H27/G27*100</f>
        <v>40.342903411846933</v>
      </c>
      <c r="J27" s="34">
        <f>J28+J29+J30+J31</f>
        <v>33227.1</v>
      </c>
      <c r="K27" s="33">
        <f>K28+K29+K30+K31</f>
        <v>34203</v>
      </c>
      <c r="L27" s="33">
        <f>K27/J27*100</f>
        <v>102.93706041153155</v>
      </c>
      <c r="M27" s="34">
        <f>M28+M29+M30+M31</f>
        <v>35062.1</v>
      </c>
      <c r="N27" s="34">
        <f>N28</f>
        <v>34857.120000000003</v>
      </c>
      <c r="O27" s="33">
        <f>N27/M27*100</f>
        <v>99.415380139809102</v>
      </c>
      <c r="P27" s="34">
        <f>P28+P29+P30+P31</f>
        <v>35769.040000000001</v>
      </c>
      <c r="Q27" s="34">
        <f>Q28+Q29+Q30+Q31</f>
        <v>40877.898999999998</v>
      </c>
      <c r="R27" s="33">
        <f>Q27/P27*100</f>
        <v>114.28290778841142</v>
      </c>
      <c r="S27" s="34">
        <f>S28+S29+S30+S31</f>
        <v>37179.003000000004</v>
      </c>
      <c r="T27" s="34">
        <f>T28+T29+T30+T31</f>
        <v>41135.230000000003</v>
      </c>
      <c r="U27" s="33">
        <f>T27/S27*100</f>
        <v>110.641024989293</v>
      </c>
      <c r="V27" s="34">
        <f>V28+V29+V30+V31</f>
        <v>36695.067999999999</v>
      </c>
      <c r="W27" s="40">
        <f>W28+W29+W30+W31</f>
        <v>49804.78</v>
      </c>
      <c r="X27" s="33">
        <f>W27/V27*100</f>
        <v>135.72608722240275</v>
      </c>
      <c r="Y27" s="34">
        <f>Y28+Y29+Y30+Y31</f>
        <v>35380.684999999998</v>
      </c>
      <c r="Z27" s="34">
        <f>Z28+Z29+Z30+Z31</f>
        <v>30428.6</v>
      </c>
      <c r="AA27" s="33">
        <f>Z27/Y27*100</f>
        <v>86.003422488852323</v>
      </c>
      <c r="AB27" s="34">
        <f>AB28+AB29+AB30+AB31</f>
        <v>35135.990000000005</v>
      </c>
      <c r="AC27" s="32">
        <f>AC28+AC29+AC30+AC31</f>
        <v>26275.377</v>
      </c>
      <c r="AD27" s="33">
        <f>AC27/AB27*100</f>
        <v>74.781945805426275</v>
      </c>
      <c r="AE27" s="34">
        <f>AE28+AE29+AE30+AE31</f>
        <v>32945.699999999997</v>
      </c>
      <c r="AF27" s="34">
        <f>AF28+AF29+AF30+AF31</f>
        <v>24604.73</v>
      </c>
      <c r="AG27" s="33">
        <f>AF27/AE27*100</f>
        <v>74.682674825546286</v>
      </c>
      <c r="AH27" s="34">
        <f>AH28+AH29+AH30+AH31</f>
        <v>32493.767</v>
      </c>
      <c r="AI27" s="34">
        <f>AI28+AI29+AI30+AI31</f>
        <v>29382.74</v>
      </c>
      <c r="AJ27" s="33">
        <f>AI27/AH27*100</f>
        <v>90.425773041334367</v>
      </c>
      <c r="AK27" s="34">
        <f>AK28+AK29+AK30+AK31</f>
        <v>30989.276999999998</v>
      </c>
      <c r="AL27" s="34">
        <v>0</v>
      </c>
      <c r="AM27" s="33">
        <v>0</v>
      </c>
      <c r="AN27" s="49">
        <f>AN28+AN29+AN30+AN31</f>
        <v>25341.385000000002</v>
      </c>
      <c r="AO27" s="34">
        <v>0</v>
      </c>
      <c r="AP27" s="34">
        <v>0</v>
      </c>
      <c r="AQ27" s="17"/>
    </row>
    <row r="28" spans="1:43" ht="26.25" customHeight="1" x14ac:dyDescent="0.25">
      <c r="A28" s="84"/>
      <c r="B28" s="90"/>
      <c r="C28" s="16" t="s">
        <v>21</v>
      </c>
      <c r="D28" s="42">
        <f t="shared" si="5"/>
        <v>396401.41500000004</v>
      </c>
      <c r="E28" s="41">
        <f t="shared" si="5"/>
        <v>322132.17599999998</v>
      </c>
      <c r="F28" s="25">
        <f>E28/D28*100</f>
        <v>81.26413373171232</v>
      </c>
      <c r="G28" s="30">
        <v>26182.3</v>
      </c>
      <c r="H28" s="25">
        <v>10562.7</v>
      </c>
      <c r="I28" s="27">
        <f>H28/G28*100</f>
        <v>40.342903411846933</v>
      </c>
      <c r="J28" s="30">
        <f>33252.4-25.3</f>
        <v>33227.1</v>
      </c>
      <c r="K28" s="27">
        <v>34203</v>
      </c>
      <c r="L28" s="27">
        <f>K28/J28*100</f>
        <v>102.93706041153155</v>
      </c>
      <c r="M28" s="30">
        <v>35062.1</v>
      </c>
      <c r="N28" s="25">
        <v>34857.120000000003</v>
      </c>
      <c r="O28" s="27">
        <f>N28/M28*100</f>
        <v>99.415380139809102</v>
      </c>
      <c r="P28" s="30">
        <f>35624.6+144.44</f>
        <v>35769.040000000001</v>
      </c>
      <c r="Q28" s="25">
        <v>40877.898999999998</v>
      </c>
      <c r="R28" s="28">
        <f>Q28/P28*100</f>
        <v>114.28290778841142</v>
      </c>
      <c r="S28" s="30">
        <f>36631.9+144.44+402.663</f>
        <v>37179.003000000004</v>
      </c>
      <c r="T28" s="25">
        <v>41135.230000000003</v>
      </c>
      <c r="U28" s="27">
        <f>T28/S28*100</f>
        <v>110.641024989293</v>
      </c>
      <c r="V28" s="30">
        <f>36218.5+144.44+402.663-70.535</f>
        <v>36695.067999999999</v>
      </c>
      <c r="W28" s="57">
        <v>49804.78</v>
      </c>
      <c r="X28" s="27">
        <f>W28/V28*100</f>
        <v>135.72608722240275</v>
      </c>
      <c r="Y28" s="30">
        <f>34868.6+144.44+402.663-70.535+35.517</f>
        <v>35380.684999999998</v>
      </c>
      <c r="Z28" s="25">
        <v>30428.6</v>
      </c>
      <c r="AA28" s="27">
        <f>Z28/Y28*100</f>
        <v>86.003422488852323</v>
      </c>
      <c r="AB28" s="30">
        <f>34577.4+144.44+402.663+35.517-24.03</f>
        <v>35135.990000000005</v>
      </c>
      <c r="AC28" s="25">
        <v>26275.377</v>
      </c>
      <c r="AD28" s="27">
        <f>AC28/AB28*100</f>
        <v>74.781945805426275</v>
      </c>
      <c r="AE28" s="30">
        <f>32418.6+144.44+402.663+35.517-24.03-31.49</f>
        <v>32945.699999999997</v>
      </c>
      <c r="AF28" s="25">
        <v>24604.73</v>
      </c>
      <c r="AG28" s="27">
        <f>AF28/AE28*100</f>
        <v>74.682674825546286</v>
      </c>
      <c r="AH28" s="30">
        <f>31565.7+144.44+402.663+35.517-24.03+369.477</f>
        <v>32493.767</v>
      </c>
      <c r="AI28" s="54">
        <v>29382.74</v>
      </c>
      <c r="AJ28" s="27">
        <f>AI28/AH28*100</f>
        <v>90.425773041334367</v>
      </c>
      <c r="AK28" s="30">
        <f>29196.3+144.44+402.663+35.517-24.03+369.477+864.91</f>
        <v>30989.276999999998</v>
      </c>
      <c r="AL28" s="25">
        <v>0</v>
      </c>
      <c r="AM28" s="27">
        <v>0</v>
      </c>
      <c r="AN28" s="47">
        <f>23548.4+144.46+402.663+35.516-24.031+369.477+864.9</f>
        <v>25341.385000000002</v>
      </c>
      <c r="AO28" s="25">
        <v>0</v>
      </c>
      <c r="AP28" s="43">
        <v>0</v>
      </c>
      <c r="AQ28" s="19"/>
    </row>
    <row r="29" spans="1:43" ht="26.25" customHeight="1" x14ac:dyDescent="0.25">
      <c r="A29" s="84"/>
      <c r="B29" s="90"/>
      <c r="C29" s="18" t="s">
        <v>22</v>
      </c>
      <c r="D29" s="42">
        <f t="shared" si="5"/>
        <v>0</v>
      </c>
      <c r="E29" s="41">
        <f t="shared" si="5"/>
        <v>0</v>
      </c>
      <c r="F29" s="25" t="e">
        <v>#DIV/0!</v>
      </c>
      <c r="G29" s="30">
        <v>0</v>
      </c>
      <c r="H29" s="25">
        <v>0</v>
      </c>
      <c r="I29" s="27" t="e">
        <v>#DIV/0!</v>
      </c>
      <c r="J29" s="30">
        <v>0</v>
      </c>
      <c r="K29" s="27">
        <v>0</v>
      </c>
      <c r="L29" s="27" t="e">
        <v>#DIV/0!</v>
      </c>
      <c r="M29" s="30">
        <v>0</v>
      </c>
      <c r="N29" s="31">
        <v>0</v>
      </c>
      <c r="O29" s="27" t="e">
        <v>#DIV/0!</v>
      </c>
      <c r="P29" s="30">
        <v>0</v>
      </c>
      <c r="Q29" s="31">
        <v>0</v>
      </c>
      <c r="R29" s="28" t="e">
        <v>#DIV/0!</v>
      </c>
      <c r="S29" s="30">
        <v>0</v>
      </c>
      <c r="T29" s="31">
        <v>0</v>
      </c>
      <c r="U29" s="27" t="e">
        <v>#DIV/0!</v>
      </c>
      <c r="V29" s="30">
        <v>0</v>
      </c>
      <c r="W29" s="38">
        <v>0</v>
      </c>
      <c r="X29" s="27" t="e">
        <v>#DIV/0!</v>
      </c>
      <c r="Y29" s="30">
        <v>0</v>
      </c>
      <c r="Z29" s="31">
        <v>0</v>
      </c>
      <c r="AA29" s="27" t="e">
        <v>#DIV/0!</v>
      </c>
      <c r="AB29" s="30">
        <v>0</v>
      </c>
      <c r="AC29" s="31">
        <v>0</v>
      </c>
      <c r="AD29" s="27" t="e">
        <v>#DIV/0!</v>
      </c>
      <c r="AE29" s="30">
        <v>0</v>
      </c>
      <c r="AF29" s="31">
        <v>0</v>
      </c>
      <c r="AG29" s="27" t="e">
        <v>#DIV/0!</v>
      </c>
      <c r="AH29" s="30">
        <v>0</v>
      </c>
      <c r="AI29" s="31">
        <v>0</v>
      </c>
      <c r="AJ29" s="27" t="e">
        <v>#DIV/0!</v>
      </c>
      <c r="AK29" s="30">
        <v>0</v>
      </c>
      <c r="AL29" s="31">
        <v>0</v>
      </c>
      <c r="AM29" s="27" t="e">
        <v>#DIV/0!</v>
      </c>
      <c r="AN29" s="47">
        <v>0</v>
      </c>
      <c r="AO29" s="31">
        <v>0</v>
      </c>
      <c r="AP29" s="43" t="e">
        <v>#DIV/0!</v>
      </c>
      <c r="AQ29" s="20"/>
    </row>
    <row r="30" spans="1:43" ht="26.25" customHeight="1" x14ac:dyDescent="0.25">
      <c r="A30" s="84"/>
      <c r="B30" s="90"/>
      <c r="C30" s="18" t="s">
        <v>23</v>
      </c>
      <c r="D30" s="42">
        <f t="shared" si="5"/>
        <v>0</v>
      </c>
      <c r="E30" s="41">
        <f t="shared" si="5"/>
        <v>0</v>
      </c>
      <c r="F30" s="25" t="e">
        <v>#DIV/0!</v>
      </c>
      <c r="G30" s="30">
        <v>0</v>
      </c>
      <c r="H30" s="25">
        <v>0</v>
      </c>
      <c r="I30" s="27" t="e">
        <v>#DIV/0!</v>
      </c>
      <c r="J30" s="30">
        <v>0</v>
      </c>
      <c r="K30" s="27">
        <v>0</v>
      </c>
      <c r="L30" s="27" t="e">
        <v>#DIV/0!</v>
      </c>
      <c r="M30" s="30">
        <v>0</v>
      </c>
      <c r="N30" s="31">
        <v>0</v>
      </c>
      <c r="O30" s="27" t="e">
        <v>#DIV/0!</v>
      </c>
      <c r="P30" s="30">
        <v>0</v>
      </c>
      <c r="Q30" s="31">
        <v>0</v>
      </c>
      <c r="R30" s="28" t="e">
        <v>#DIV/0!</v>
      </c>
      <c r="S30" s="30">
        <v>0</v>
      </c>
      <c r="T30" s="31">
        <v>0</v>
      </c>
      <c r="U30" s="27" t="e">
        <v>#DIV/0!</v>
      </c>
      <c r="V30" s="30">
        <v>0</v>
      </c>
      <c r="W30" s="38">
        <v>0</v>
      </c>
      <c r="X30" s="27" t="e">
        <v>#DIV/0!</v>
      </c>
      <c r="Y30" s="30">
        <v>0</v>
      </c>
      <c r="Z30" s="31">
        <v>0</v>
      </c>
      <c r="AA30" s="27" t="e">
        <v>#DIV/0!</v>
      </c>
      <c r="AB30" s="30">
        <v>0</v>
      </c>
      <c r="AC30" s="50">
        <v>0</v>
      </c>
      <c r="AD30" s="27" t="e">
        <v>#DIV/0!</v>
      </c>
      <c r="AE30" s="30">
        <v>0</v>
      </c>
      <c r="AF30" s="31">
        <v>0</v>
      </c>
      <c r="AG30" s="27" t="e">
        <v>#DIV/0!</v>
      </c>
      <c r="AH30" s="30">
        <v>0</v>
      </c>
      <c r="AI30" s="31">
        <v>0</v>
      </c>
      <c r="AJ30" s="27" t="e">
        <v>#DIV/0!</v>
      </c>
      <c r="AK30" s="30">
        <v>0</v>
      </c>
      <c r="AL30" s="31">
        <v>0</v>
      </c>
      <c r="AM30" s="27" t="e">
        <v>#DIV/0!</v>
      </c>
      <c r="AN30" s="47">
        <v>0</v>
      </c>
      <c r="AO30" s="31">
        <v>0</v>
      </c>
      <c r="AP30" s="31" t="e">
        <v>#DIV/0!</v>
      </c>
      <c r="AQ30" s="20"/>
    </row>
    <row r="31" spans="1:43" ht="26.25" customHeight="1" x14ac:dyDescent="0.25">
      <c r="A31" s="85"/>
      <c r="B31" s="91"/>
      <c r="C31" s="16" t="s">
        <v>24</v>
      </c>
      <c r="D31" s="42">
        <f t="shared" si="5"/>
        <v>0</v>
      </c>
      <c r="E31" s="41">
        <f t="shared" si="5"/>
        <v>0</v>
      </c>
      <c r="F31" s="25" t="e">
        <v>#DIV/0!</v>
      </c>
      <c r="G31" s="30">
        <v>0</v>
      </c>
      <c r="H31" s="25">
        <v>0</v>
      </c>
      <c r="I31" s="27" t="e">
        <v>#DIV/0!</v>
      </c>
      <c r="J31" s="30">
        <v>0</v>
      </c>
      <c r="K31" s="27">
        <v>0</v>
      </c>
      <c r="L31" s="27" t="e">
        <v>#DIV/0!</v>
      </c>
      <c r="M31" s="30">
        <v>0</v>
      </c>
      <c r="N31" s="31">
        <v>0</v>
      </c>
      <c r="O31" s="27" t="e">
        <v>#DIV/0!</v>
      </c>
      <c r="P31" s="30">
        <v>0</v>
      </c>
      <c r="Q31" s="31">
        <v>0</v>
      </c>
      <c r="R31" s="28" t="e">
        <v>#DIV/0!</v>
      </c>
      <c r="S31" s="30">
        <v>0</v>
      </c>
      <c r="T31" s="31">
        <v>0</v>
      </c>
      <c r="U31" s="27" t="e">
        <v>#DIV/0!</v>
      </c>
      <c r="V31" s="30">
        <v>0</v>
      </c>
      <c r="W31" s="38">
        <v>0</v>
      </c>
      <c r="X31" s="27" t="e">
        <v>#DIV/0!</v>
      </c>
      <c r="Y31" s="30">
        <v>0</v>
      </c>
      <c r="Z31" s="31">
        <v>0</v>
      </c>
      <c r="AA31" s="27" t="e">
        <v>#DIV/0!</v>
      </c>
      <c r="AB31" s="47">
        <v>0</v>
      </c>
      <c r="AC31" s="31">
        <v>0</v>
      </c>
      <c r="AD31" s="27" t="e">
        <v>#DIV/0!</v>
      </c>
      <c r="AE31" s="30">
        <v>0</v>
      </c>
      <c r="AF31" s="31">
        <v>0</v>
      </c>
      <c r="AG31" s="27" t="e">
        <v>#DIV/0!</v>
      </c>
      <c r="AH31" s="30">
        <v>0</v>
      </c>
      <c r="AI31" s="31">
        <v>0</v>
      </c>
      <c r="AJ31" s="27" t="e">
        <v>#DIV/0!</v>
      </c>
      <c r="AK31" s="30">
        <v>0</v>
      </c>
      <c r="AL31" s="31">
        <v>0</v>
      </c>
      <c r="AM31" s="27" t="e">
        <v>#DIV/0!</v>
      </c>
      <c r="AN31" s="30">
        <v>0</v>
      </c>
      <c r="AO31" s="31">
        <v>0</v>
      </c>
      <c r="AP31" s="31" t="e">
        <v>#DIV/0!</v>
      </c>
      <c r="AQ31" s="20"/>
    </row>
    <row r="32" spans="1:43" x14ac:dyDescent="0.25">
      <c r="A32" s="3"/>
      <c r="B32" s="61"/>
      <c r="C32" s="6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1"/>
      <c r="X32" s="2"/>
      <c r="Y32" s="2"/>
      <c r="Z32" s="1"/>
      <c r="AA32" s="1"/>
      <c r="AB32" s="2"/>
      <c r="AC32" s="15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2"/>
      <c r="AO32" s="22"/>
      <c r="AP32" s="23"/>
      <c r="AQ32" s="23"/>
    </row>
    <row r="33" spans="1:43" ht="15" customHeight="1" x14ac:dyDescent="0.25">
      <c r="A33" s="3"/>
      <c r="B33" s="98" t="s">
        <v>42</v>
      </c>
      <c r="C33" s="98"/>
      <c r="D33" s="98"/>
      <c r="E33" s="98"/>
      <c r="F33" s="98"/>
      <c r="G33" s="98"/>
      <c r="H33" s="108"/>
      <c r="I33" s="10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1"/>
      <c r="X33" s="2"/>
      <c r="Y33" s="2"/>
      <c r="Z33" s="1"/>
      <c r="AA33" s="1"/>
      <c r="AB33" s="2"/>
      <c r="AC33" s="15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2"/>
      <c r="AO33" s="22"/>
      <c r="AP33" s="23"/>
      <c r="AQ33" s="23"/>
    </row>
    <row r="34" spans="1:43" ht="32.25" customHeight="1" x14ac:dyDescent="0.25">
      <c r="A34" s="3"/>
      <c r="B34" s="99" t="s">
        <v>39</v>
      </c>
      <c r="C34" s="99"/>
      <c r="D34" s="99"/>
      <c r="E34" s="99"/>
      <c r="F34" s="99"/>
      <c r="G34" s="99"/>
      <c r="H34" s="9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2"/>
      <c r="AP34" s="23"/>
      <c r="AQ34" s="23"/>
    </row>
    <row r="35" spans="1:43" x14ac:dyDescent="0.25">
      <c r="B35" t="s">
        <v>27</v>
      </c>
      <c r="G35" s="35"/>
      <c r="M35" s="35"/>
    </row>
    <row r="36" spans="1:43" ht="15" customHeight="1" x14ac:dyDescent="0.25"/>
  </sheetData>
  <mergeCells count="34">
    <mergeCell ref="A22:A26"/>
    <mergeCell ref="B22:B26"/>
    <mergeCell ref="A27:A31"/>
    <mergeCell ref="B27:B31"/>
    <mergeCell ref="A12:A16"/>
    <mergeCell ref="B12:B16"/>
    <mergeCell ref="B33:I33"/>
    <mergeCell ref="B34:H34"/>
    <mergeCell ref="A17:A21"/>
    <mergeCell ref="B17:B21"/>
    <mergeCell ref="AK10:AM10"/>
    <mergeCell ref="AN10:AP10"/>
    <mergeCell ref="S10:U10"/>
    <mergeCell ref="V10:X10"/>
    <mergeCell ref="Y10:AA10"/>
    <mergeCell ref="AB10:AD10"/>
    <mergeCell ref="AE10:AG10"/>
    <mergeCell ref="AH10:AJ10"/>
    <mergeCell ref="E7:Y7"/>
    <mergeCell ref="AL9:AP9"/>
    <mergeCell ref="A10:A11"/>
    <mergeCell ref="B10:B11"/>
    <mergeCell ref="C10:C11"/>
    <mergeCell ref="D10:F10"/>
    <mergeCell ref="G10:I10"/>
    <mergeCell ref="J10:L10"/>
    <mergeCell ref="M10:O10"/>
    <mergeCell ref="P10:R10"/>
    <mergeCell ref="E6:Y6"/>
    <mergeCell ref="D1:O1"/>
    <mergeCell ref="AL1:AP1"/>
    <mergeCell ref="Z2:AP2"/>
    <mergeCell ref="AL3:AP3"/>
    <mergeCell ref="E5:Y5"/>
  </mergeCells>
  <printOptions horizontalCentered="1"/>
  <pageMargins left="0.70866141732283461" right="0.70866141732283461" top="0.74803149606299213" bottom="0.74803149606299213" header="0.31496062992125984" footer="0.31496062992125984"/>
  <pageSetup scale="54" fitToWidth="0" orientation="landscape" r:id="rId1"/>
  <colBreaks count="2" manualBreakCount="2">
    <brk id="21" max="1048575" man="1"/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окт</vt:lpstr>
      <vt:lpstr>окт!Область_печати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2020-11-10T06:25:40Z</dcterms:modified>
</cp:coreProperties>
</file>